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O:\2. EKONOMICKÉ oddělení\Návrh rozpočtu + střednědobý výhled\Návrh na rok 2026\"/>
    </mc:Choice>
  </mc:AlternateContent>
  <xr:revisionPtr revIDLastSave="0" documentId="13_ncr:1_{B6BE17E8-CB6C-4C9D-8C1D-361DF2C5F4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6" sheetId="12" r:id="rId1"/>
    <sheet name="2027" sheetId="13" r:id="rId2"/>
    <sheet name="2028" sheetId="14" r:id="rId3"/>
  </sheets>
  <definedNames>
    <definedName name="_xlnm.Print_Area" localSheetId="0">'2026'!$A$1:$I$38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" i="14"/>
  <c r="G35" i="13"/>
  <c r="G23" i="13"/>
  <c r="G36" i="14"/>
  <c r="G35" i="14"/>
  <c r="G32" i="14"/>
  <c r="G31" i="14"/>
  <c r="G29" i="14"/>
  <c r="G23" i="14"/>
  <c r="G22" i="14"/>
  <c r="G19" i="14"/>
  <c r="G16" i="14"/>
  <c r="G11" i="14"/>
  <c r="G6" i="14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" i="13"/>
  <c r="C3" i="13"/>
  <c r="G28" i="14"/>
  <c r="G13" i="14"/>
  <c r="G36" i="13"/>
  <c r="G29" i="13"/>
  <c r="G22" i="13"/>
  <c r="G19" i="13"/>
  <c r="G16" i="13"/>
  <c r="G13" i="13"/>
  <c r="G11" i="13"/>
  <c r="H11" i="13"/>
  <c r="G5" i="12"/>
  <c r="B31" i="12"/>
  <c r="B5" i="12"/>
  <c r="G37" i="12" l="1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4" i="12"/>
  <c r="G3" i="12"/>
  <c r="B37" i="12"/>
  <c r="B36" i="12"/>
  <c r="B35" i="12"/>
  <c r="B34" i="12"/>
  <c r="B33" i="12"/>
  <c r="B32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 l="1"/>
  <c r="B13" i="12"/>
  <c r="B12" i="12"/>
  <c r="B11" i="12"/>
  <c r="B10" i="12"/>
  <c r="B9" i="12"/>
  <c r="B8" i="12"/>
  <c r="B7" i="12"/>
  <c r="B6" i="12"/>
  <c r="B4" i="12"/>
  <c r="B3" i="12"/>
  <c r="H38" i="13" l="1"/>
  <c r="H38" i="14" s="1"/>
  <c r="H37" i="13"/>
  <c r="H37" i="14" s="1"/>
  <c r="H36" i="13"/>
  <c r="H36" i="14" s="1"/>
  <c r="H35" i="13"/>
  <c r="H35" i="14" s="1"/>
  <c r="C37" i="13"/>
  <c r="C36" i="13"/>
  <c r="C36" i="14" s="1"/>
  <c r="C35" i="13"/>
  <c r="C35" i="14" s="1"/>
  <c r="H34" i="13"/>
  <c r="H34" i="14" s="1"/>
  <c r="C34" i="13"/>
  <c r="C34" i="14" s="1"/>
  <c r="C23" i="14"/>
  <c r="C24" i="14"/>
  <c r="C25" i="14"/>
  <c r="C37" i="14"/>
  <c r="H4" i="13"/>
  <c r="H4" i="14" s="1"/>
  <c r="H5" i="13"/>
  <c r="H5" i="14" s="1"/>
  <c r="H6" i="14"/>
  <c r="H7" i="13"/>
  <c r="H7" i="14" s="1"/>
  <c r="H8" i="13"/>
  <c r="H8" i="14" s="1"/>
  <c r="H9" i="13"/>
  <c r="H9" i="14" s="1"/>
  <c r="H10" i="13"/>
  <c r="H10" i="14" s="1"/>
  <c r="H11" i="14"/>
  <c r="H12" i="13"/>
  <c r="H12" i="14" s="1"/>
  <c r="H13" i="13"/>
  <c r="H13" i="14" s="1"/>
  <c r="H14" i="13"/>
  <c r="H14" i="14" s="1"/>
  <c r="H15" i="13"/>
  <c r="H15" i="14" s="1"/>
  <c r="H16" i="13"/>
  <c r="H16" i="14" s="1"/>
  <c r="H17" i="13"/>
  <c r="H17" i="14" s="1"/>
  <c r="H18" i="13"/>
  <c r="H18" i="14" s="1"/>
  <c r="H19" i="13"/>
  <c r="H19" i="14" s="1"/>
  <c r="H20" i="13"/>
  <c r="H20" i="14" s="1"/>
  <c r="H21" i="13"/>
  <c r="H21" i="14" s="1"/>
  <c r="H22" i="13"/>
  <c r="H22" i="14" s="1"/>
  <c r="H23" i="13"/>
  <c r="H23" i="14" s="1"/>
  <c r="H24" i="13"/>
  <c r="H24" i="14" s="1"/>
  <c r="H25" i="13"/>
  <c r="H25" i="14" s="1"/>
  <c r="H26" i="13"/>
  <c r="H26" i="14" s="1"/>
  <c r="H27" i="13"/>
  <c r="H27" i="14" s="1"/>
  <c r="H28" i="13"/>
  <c r="H28" i="14" s="1"/>
  <c r="H29" i="13"/>
  <c r="H29" i="14" s="1"/>
  <c r="H30" i="13"/>
  <c r="H30" i="14" s="1"/>
  <c r="H31" i="13"/>
  <c r="H31" i="14" s="1"/>
  <c r="H32" i="13"/>
  <c r="H32" i="14" s="1"/>
  <c r="H33" i="13"/>
  <c r="H33" i="14" s="1"/>
  <c r="H3" i="13"/>
  <c r="H3" i="14" s="1"/>
  <c r="C4" i="13"/>
  <c r="C4" i="14" s="1"/>
  <c r="C5" i="13"/>
  <c r="C5" i="14" s="1"/>
  <c r="C6" i="13"/>
  <c r="C6" i="14" s="1"/>
  <c r="C7" i="13"/>
  <c r="C7" i="14" s="1"/>
  <c r="C8" i="13"/>
  <c r="C8" i="14" s="1"/>
  <c r="C9" i="13"/>
  <c r="C9" i="14" s="1"/>
  <c r="C10" i="13"/>
  <c r="C10" i="14" s="1"/>
  <c r="C11" i="13"/>
  <c r="C11" i="14" s="1"/>
  <c r="C12" i="13"/>
  <c r="C12" i="14" s="1"/>
  <c r="C13" i="13"/>
  <c r="C13" i="14" s="1"/>
  <c r="C14" i="13"/>
  <c r="C14" i="14" s="1"/>
  <c r="C15" i="13"/>
  <c r="C15" i="14" s="1"/>
  <c r="C16" i="13"/>
  <c r="C16" i="14" s="1"/>
  <c r="C17" i="13"/>
  <c r="C17" i="14" s="1"/>
  <c r="C18" i="13"/>
  <c r="C18" i="14" s="1"/>
  <c r="C19" i="13"/>
  <c r="C19" i="14" s="1"/>
  <c r="C20" i="13"/>
  <c r="C20" i="14" s="1"/>
  <c r="C21" i="13"/>
  <c r="C21" i="14" s="1"/>
  <c r="C22" i="13"/>
  <c r="C22" i="14" s="1"/>
  <c r="C23" i="13"/>
  <c r="C24" i="13"/>
  <c r="C25" i="13"/>
  <c r="C26" i="13"/>
  <c r="C26" i="14" s="1"/>
  <c r="C27" i="13"/>
  <c r="C27" i="14" s="1"/>
  <c r="C28" i="13"/>
  <c r="C28" i="14" s="1"/>
  <c r="C29" i="13"/>
  <c r="C29" i="14" s="1"/>
  <c r="C30" i="13"/>
  <c r="C30" i="14" s="1"/>
  <c r="C31" i="13"/>
  <c r="C31" i="14" s="1"/>
  <c r="C32" i="13"/>
  <c r="C32" i="14" s="1"/>
  <c r="C33" i="13"/>
  <c r="C33" i="14" s="1"/>
  <c r="C3" i="14"/>
  <c r="G4" i="13" l="1"/>
  <c r="G4" i="14" s="1"/>
  <c r="G5" i="13"/>
  <c r="G5" i="14" s="1"/>
  <c r="G6" i="13"/>
  <c r="G7" i="13"/>
  <c r="G7" i="14" s="1"/>
  <c r="G8" i="13"/>
  <c r="G8" i="14" s="1"/>
  <c r="G9" i="13"/>
  <c r="G9" i="14" s="1"/>
  <c r="G10" i="13"/>
  <c r="G10" i="14" s="1"/>
  <c r="G12" i="13"/>
  <c r="G12" i="14" s="1"/>
  <c r="G14" i="13"/>
  <c r="G14" i="14" s="1"/>
  <c r="G15" i="13"/>
  <c r="G15" i="14" s="1"/>
  <c r="G17" i="13"/>
  <c r="G17" i="14" s="1"/>
  <c r="G18" i="13"/>
  <c r="G18" i="14" s="1"/>
  <c r="G20" i="13"/>
  <c r="G20" i="14" s="1"/>
  <c r="G21" i="13"/>
  <c r="G21" i="14" s="1"/>
  <c r="G24" i="13"/>
  <c r="G24" i="14" s="1"/>
  <c r="G25" i="13"/>
  <c r="G25" i="14" s="1"/>
  <c r="G26" i="13"/>
  <c r="G26" i="14" s="1"/>
  <c r="G27" i="13"/>
  <c r="G27" i="14" s="1"/>
  <c r="G28" i="13"/>
  <c r="G30" i="13"/>
  <c r="G30" i="14" s="1"/>
  <c r="G31" i="13"/>
  <c r="G32" i="13"/>
  <c r="G33" i="13"/>
  <c r="G33" i="14" s="1"/>
  <c r="G37" i="13"/>
  <c r="G37" i="14" s="1"/>
  <c r="G3" i="13"/>
  <c r="G3" i="14" s="1"/>
  <c r="I34" i="12" l="1"/>
  <c r="G34" i="13"/>
  <c r="I13" i="12"/>
  <c r="D13" i="12" s="1"/>
  <c r="E13" i="12" s="1"/>
  <c r="I38" i="14"/>
  <c r="D38" i="14" s="1"/>
  <c r="E38" i="14" s="1"/>
  <c r="I38" i="13"/>
  <c r="D38" i="13" s="1"/>
  <c r="I4" i="14"/>
  <c r="D4" i="14" s="1"/>
  <c r="E4" i="14" s="1"/>
  <c r="I5" i="14"/>
  <c r="D5" i="14" s="1"/>
  <c r="E5" i="14" s="1"/>
  <c r="I6" i="14"/>
  <c r="D6" i="14" s="1"/>
  <c r="E6" i="14" s="1"/>
  <c r="I7" i="14"/>
  <c r="D7" i="14" s="1"/>
  <c r="E7" i="14" s="1"/>
  <c r="I8" i="14"/>
  <c r="D8" i="14" s="1"/>
  <c r="E8" i="14" s="1"/>
  <c r="I9" i="14"/>
  <c r="D9" i="14" s="1"/>
  <c r="E9" i="14" s="1"/>
  <c r="I10" i="14"/>
  <c r="D10" i="14" s="1"/>
  <c r="E10" i="14" s="1"/>
  <c r="I11" i="14"/>
  <c r="D11" i="14" s="1"/>
  <c r="E11" i="14" s="1"/>
  <c r="I12" i="14"/>
  <c r="D12" i="14" s="1"/>
  <c r="E12" i="14" s="1"/>
  <c r="I13" i="14"/>
  <c r="I14" i="14"/>
  <c r="D14" i="14" s="1"/>
  <c r="E14" i="14" s="1"/>
  <c r="I15" i="14"/>
  <c r="D15" i="14" s="1"/>
  <c r="E15" i="14" s="1"/>
  <c r="I16" i="14"/>
  <c r="D16" i="14" s="1"/>
  <c r="E16" i="14" s="1"/>
  <c r="I17" i="14"/>
  <c r="D17" i="14" s="1"/>
  <c r="E17" i="14" s="1"/>
  <c r="I18" i="14"/>
  <c r="D18" i="14" s="1"/>
  <c r="E18" i="14" s="1"/>
  <c r="I19" i="14"/>
  <c r="D19" i="14" s="1"/>
  <c r="E19" i="14" s="1"/>
  <c r="I20" i="14"/>
  <c r="D20" i="14" s="1"/>
  <c r="E20" i="14" s="1"/>
  <c r="I21" i="14"/>
  <c r="D21" i="14" s="1"/>
  <c r="E21" i="14" s="1"/>
  <c r="I22" i="14"/>
  <c r="D22" i="14" s="1"/>
  <c r="E22" i="14" s="1"/>
  <c r="I23" i="14"/>
  <c r="D23" i="14" s="1"/>
  <c r="E23" i="14" s="1"/>
  <c r="I24" i="14"/>
  <c r="D24" i="14" s="1"/>
  <c r="E24" i="14" s="1"/>
  <c r="I25" i="14"/>
  <c r="D25" i="14" s="1"/>
  <c r="E25" i="14" s="1"/>
  <c r="I26" i="14"/>
  <c r="D26" i="14" s="1"/>
  <c r="E26" i="14" s="1"/>
  <c r="I27" i="14"/>
  <c r="D27" i="14" s="1"/>
  <c r="E27" i="14" s="1"/>
  <c r="I28" i="14"/>
  <c r="D28" i="14" s="1"/>
  <c r="E28" i="14" s="1"/>
  <c r="I29" i="14"/>
  <c r="D29" i="14" s="1"/>
  <c r="E29" i="14" s="1"/>
  <c r="I30" i="14"/>
  <c r="D30" i="14" s="1"/>
  <c r="E30" i="14" s="1"/>
  <c r="I31" i="14"/>
  <c r="D31" i="14" s="1"/>
  <c r="E31" i="14" s="1"/>
  <c r="I32" i="14"/>
  <c r="D32" i="14" s="1"/>
  <c r="E32" i="14" s="1"/>
  <c r="I33" i="14"/>
  <c r="D33" i="14" s="1"/>
  <c r="E33" i="14" s="1"/>
  <c r="I35" i="14"/>
  <c r="D35" i="14" s="1"/>
  <c r="E35" i="14" s="1"/>
  <c r="I36" i="14"/>
  <c r="D36" i="14" s="1"/>
  <c r="E36" i="14" s="1"/>
  <c r="I37" i="14"/>
  <c r="D37" i="14" s="1"/>
  <c r="E37" i="14" s="1"/>
  <c r="I3" i="14"/>
  <c r="D3" i="14" s="1"/>
  <c r="E3" i="14" s="1"/>
  <c r="I4" i="13"/>
  <c r="D4" i="13" s="1"/>
  <c r="E4" i="13" s="1"/>
  <c r="I5" i="13"/>
  <c r="D5" i="13" s="1"/>
  <c r="E5" i="13" s="1"/>
  <c r="I6" i="13"/>
  <c r="D6" i="13" s="1"/>
  <c r="E6" i="13" s="1"/>
  <c r="I7" i="13"/>
  <c r="D7" i="13" s="1"/>
  <c r="E7" i="13" s="1"/>
  <c r="I8" i="13"/>
  <c r="D8" i="13" s="1"/>
  <c r="E8" i="13" s="1"/>
  <c r="I9" i="13"/>
  <c r="D9" i="13" s="1"/>
  <c r="E9" i="13" s="1"/>
  <c r="I10" i="13"/>
  <c r="D10" i="13" s="1"/>
  <c r="E10" i="13" s="1"/>
  <c r="I11" i="13"/>
  <c r="D11" i="13" s="1"/>
  <c r="E11" i="13" s="1"/>
  <c r="I12" i="13"/>
  <c r="D12" i="13" s="1"/>
  <c r="E12" i="13" s="1"/>
  <c r="I13" i="13"/>
  <c r="D13" i="13" s="1"/>
  <c r="E13" i="13" s="1"/>
  <c r="I14" i="13"/>
  <c r="D14" i="13" s="1"/>
  <c r="E14" i="13" s="1"/>
  <c r="I15" i="13"/>
  <c r="D15" i="13" s="1"/>
  <c r="E15" i="13" s="1"/>
  <c r="I16" i="13"/>
  <c r="D16" i="13" s="1"/>
  <c r="E16" i="13" s="1"/>
  <c r="I17" i="13"/>
  <c r="D17" i="13" s="1"/>
  <c r="E17" i="13" s="1"/>
  <c r="I18" i="13"/>
  <c r="D18" i="13" s="1"/>
  <c r="E18" i="13" s="1"/>
  <c r="I19" i="13"/>
  <c r="I20" i="13"/>
  <c r="D20" i="13" s="1"/>
  <c r="E20" i="13" s="1"/>
  <c r="I21" i="13"/>
  <c r="D21" i="13" s="1"/>
  <c r="E21" i="13" s="1"/>
  <c r="I22" i="13"/>
  <c r="I23" i="13"/>
  <c r="D23" i="13" s="1"/>
  <c r="E23" i="13" s="1"/>
  <c r="I24" i="13"/>
  <c r="D24" i="13" s="1"/>
  <c r="E24" i="13" s="1"/>
  <c r="I25" i="13"/>
  <c r="D25" i="13" s="1"/>
  <c r="E25" i="13" s="1"/>
  <c r="I26" i="13"/>
  <c r="D26" i="13" s="1"/>
  <c r="E26" i="13" s="1"/>
  <c r="I27" i="13"/>
  <c r="D27" i="13" s="1"/>
  <c r="E27" i="13" s="1"/>
  <c r="I28" i="13"/>
  <c r="D28" i="13" s="1"/>
  <c r="E28" i="13" s="1"/>
  <c r="I29" i="13"/>
  <c r="D29" i="13" s="1"/>
  <c r="E29" i="13" s="1"/>
  <c r="I30" i="13"/>
  <c r="D30" i="13" s="1"/>
  <c r="E30" i="13" s="1"/>
  <c r="I31" i="13"/>
  <c r="D31" i="13" s="1"/>
  <c r="E31" i="13" s="1"/>
  <c r="I32" i="13"/>
  <c r="D32" i="13" s="1"/>
  <c r="E32" i="13" s="1"/>
  <c r="I33" i="13"/>
  <c r="D33" i="13" s="1"/>
  <c r="E33" i="13" s="1"/>
  <c r="I35" i="13"/>
  <c r="I36" i="13"/>
  <c r="I37" i="13"/>
  <c r="D37" i="13" s="1"/>
  <c r="E37" i="13" s="1"/>
  <c r="I3" i="13"/>
  <c r="I4" i="12"/>
  <c r="D4" i="12" s="1"/>
  <c r="E4" i="12" s="1"/>
  <c r="I5" i="12"/>
  <c r="D5" i="12" s="1"/>
  <c r="E5" i="12" s="1"/>
  <c r="I6" i="12"/>
  <c r="D6" i="12" s="1"/>
  <c r="E6" i="12" s="1"/>
  <c r="I7" i="12"/>
  <c r="D7" i="12" s="1"/>
  <c r="E7" i="12" s="1"/>
  <c r="I8" i="12"/>
  <c r="D8" i="12" s="1"/>
  <c r="E8" i="12" s="1"/>
  <c r="I9" i="12"/>
  <c r="D9" i="12" s="1"/>
  <c r="E9" i="12" s="1"/>
  <c r="I10" i="12"/>
  <c r="D10" i="12" s="1"/>
  <c r="E10" i="12" s="1"/>
  <c r="I11" i="12"/>
  <c r="D11" i="12" s="1"/>
  <c r="E11" i="12" s="1"/>
  <c r="I12" i="12"/>
  <c r="D12" i="12" s="1"/>
  <c r="E12" i="12" s="1"/>
  <c r="I14" i="12"/>
  <c r="D14" i="12" s="1"/>
  <c r="E14" i="12" s="1"/>
  <c r="I15" i="12"/>
  <c r="D15" i="12" s="1"/>
  <c r="E15" i="12" s="1"/>
  <c r="I16" i="12"/>
  <c r="D16" i="12" s="1"/>
  <c r="E16" i="12" s="1"/>
  <c r="I17" i="12"/>
  <c r="D17" i="12" s="1"/>
  <c r="E17" i="12" s="1"/>
  <c r="I18" i="12"/>
  <c r="D18" i="12" s="1"/>
  <c r="E18" i="12" s="1"/>
  <c r="I19" i="12"/>
  <c r="D19" i="12" s="1"/>
  <c r="E19" i="12" s="1"/>
  <c r="I20" i="12"/>
  <c r="D20" i="12" s="1"/>
  <c r="E20" i="12" s="1"/>
  <c r="I21" i="12"/>
  <c r="D21" i="12" s="1"/>
  <c r="E21" i="12" s="1"/>
  <c r="I22" i="12"/>
  <c r="D22" i="12" s="1"/>
  <c r="E22" i="12" s="1"/>
  <c r="I23" i="12"/>
  <c r="D23" i="12" s="1"/>
  <c r="E23" i="12" s="1"/>
  <c r="I24" i="12"/>
  <c r="D24" i="12" s="1"/>
  <c r="E24" i="12" s="1"/>
  <c r="I25" i="12"/>
  <c r="D25" i="12" s="1"/>
  <c r="E25" i="12" s="1"/>
  <c r="I26" i="12"/>
  <c r="D26" i="12" s="1"/>
  <c r="E26" i="12" s="1"/>
  <c r="I27" i="12"/>
  <c r="D27" i="12" s="1"/>
  <c r="E27" i="12" s="1"/>
  <c r="I28" i="12"/>
  <c r="D28" i="12" s="1"/>
  <c r="E28" i="12" s="1"/>
  <c r="I29" i="12"/>
  <c r="D29" i="12" s="1"/>
  <c r="E29" i="12" s="1"/>
  <c r="I30" i="12"/>
  <c r="D30" i="12" s="1"/>
  <c r="E30" i="12" s="1"/>
  <c r="I31" i="12"/>
  <c r="D31" i="12" s="1"/>
  <c r="E31" i="12" s="1"/>
  <c r="I32" i="12"/>
  <c r="D32" i="12" s="1"/>
  <c r="E32" i="12" s="1"/>
  <c r="I33" i="12"/>
  <c r="D33" i="12" s="1"/>
  <c r="E33" i="12" s="1"/>
  <c r="I35" i="12"/>
  <c r="D35" i="12" s="1"/>
  <c r="E35" i="12" s="1"/>
  <c r="I36" i="12"/>
  <c r="D36" i="12" s="1"/>
  <c r="E36" i="12" s="1"/>
  <c r="I37" i="12"/>
  <c r="D37" i="12" s="1"/>
  <c r="E37" i="12" s="1"/>
  <c r="I38" i="12"/>
  <c r="I3" i="12"/>
  <c r="D3" i="12" s="1"/>
  <c r="E3" i="12" s="1"/>
  <c r="D13" i="14" l="1"/>
  <c r="E13" i="14" s="1"/>
  <c r="D36" i="13"/>
  <c r="E36" i="13" s="1"/>
  <c r="D35" i="13"/>
  <c r="E35" i="13" s="1"/>
  <c r="D22" i="13"/>
  <c r="E22" i="13" s="1"/>
  <c r="D19" i="13"/>
  <c r="E19" i="13" s="1"/>
  <c r="D34" i="12"/>
  <c r="E34" i="12" s="1"/>
  <c r="D38" i="12"/>
  <c r="E38" i="12" s="1"/>
  <c r="G34" i="14"/>
  <c r="I34" i="14" s="1"/>
  <c r="D34" i="14" s="1"/>
  <c r="E34" i="14" s="1"/>
  <c r="I34" i="13"/>
  <c r="D34" i="13" s="1"/>
  <c r="E34" i="13" s="1"/>
  <c r="E38" i="13"/>
  <c r="D3" i="13"/>
  <c r="E3" i="13" s="1"/>
</calcChain>
</file>

<file path=xl/sharedStrings.xml><?xml version="1.0" encoding="utf-8"?>
<sst xmlns="http://schemas.openxmlformats.org/spreadsheetml/2006/main" count="138" uniqueCount="49">
  <si>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</si>
  <si>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</si>
  <si>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</si>
  <si>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</si>
  <si>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</si>
  <si>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</si>
  <si>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</si>
  <si>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</si>
  <si>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</si>
  <si>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</si>
  <si>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</si>
  <si>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</si>
  <si>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</si>
  <si>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</si>
  <si>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</si>
  <si>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</si>
  <si>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</si>
  <si>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</si>
  <si>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</si>
  <si>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</si>
  <si>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</si>
  <si>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</si>
  <si>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</si>
  <si>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</si>
  <si>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</si>
  <si>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</si>
  <si>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</si>
  <si>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</si>
  <si>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</si>
  <si>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</si>
  <si>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</si>
  <si>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</si>
  <si>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</si>
  <si>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Název příspěvkové organizace</t>
  </si>
  <si>
    <t>Výnosy ze státního rozpočtu</t>
  </si>
  <si>
    <t>Výnosy z rozpočtu MČ</t>
  </si>
  <si>
    <t>Náklady mzdové + ostatní osobní</t>
  </si>
  <si>
    <t>Kulturní dům Barikádníků, Praha 10, příspěvková organizace</t>
  </si>
  <si>
    <t>Mateřská škola Hřibská, Praha 10, příspěvková organizace</t>
  </si>
  <si>
    <t>Mateřská škola Náš svět, Praha 10, příspěvková organizace</t>
  </si>
  <si>
    <t>Mateřská škola Harmonie, Praha 10, příspěvková organizace</t>
  </si>
  <si>
    <t>Mateřská škol Kostičky, Praha 10, příspěvková organizace</t>
  </si>
  <si>
    <t>Mateřská škola Větrník, Praha 10, příspěvková organizace</t>
  </si>
  <si>
    <t>Školní jídelny Praha 10, příspěvková organizace</t>
  </si>
  <si>
    <t>Základní škola, Praha 10, V Olšinách 200/69, příspěvková organizace</t>
  </si>
  <si>
    <t>Mateřská škola Kostičky, Praha 10, příspěvková organizace</t>
  </si>
  <si>
    <r>
      <t xml:space="preserve">Návrh rozpočtu příspěvkových organizací odboru školství na rok 2026 </t>
    </r>
    <r>
      <rPr>
        <sz val="12"/>
        <color theme="1"/>
        <rFont val="Calibri"/>
        <family val="2"/>
        <charset val="238"/>
      </rPr>
      <t>(v tis. Kč)</t>
    </r>
  </si>
  <si>
    <r>
      <t xml:space="preserve">Návrh střednědobého výhledu rozpočtu příspěvkových organizací odboru školství na rok 2027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</si>
  <si>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Návrh střednědobého výhledu rozpočtu příspěvkových organizací odboru školství na rok 2028 </t>
    </r>
    <r>
      <rPr>
        <sz val="12"/>
        <color theme="1"/>
        <rFont val="Calibri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</si>
</sst>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9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2" xfId="0" applyNumberFormat="1" applyFont="1" applyBorder="1"/>
    <xf numFmtId="3" fontId="7" fillId="0" borderId="11" xfId="0" applyNumberFormat="1" applyFont="1" applyBorder="1"/>
    <xf numFmtId="3" fontId="8" fillId="0" borderId="2" xfId="0" applyNumberFormat="1" applyFont="1" applyBorder="1"/>
    <xf numFmtId="3" fontId="7" fillId="0" borderId="3" xfId="0" applyNumberFormat="1" applyFont="1" applyBorder="1"/>
    <xf numFmtId="3" fontId="8" fillId="0" borderId="3" xfId="0" applyNumberFormat="1" applyFont="1" applyBorder="1"/>
    <xf numFmtId="3" fontId="7" fillId="0" borderId="1" xfId="0" applyNumberFormat="1" applyFont="1" applyBorder="1"/>
    <xf numFmtId="0" fontId="6" fillId="0" borderId="0" xfId="0" applyFont="1"/>
    <xf numFmtId="3" fontId="2" fillId="0" borderId="0" xfId="0" applyNumberFormat="1" applyFont="1"/>
    <xf numFmtId="3" fontId="7" fillId="0" borderId="22" xfId="0" applyNumberFormat="1" applyFont="1" applyBorder="1"/>
    <xf numFmtId="3" fontId="8" fillId="0" borderId="18" xfId="0" applyNumberFormat="1" applyFont="1" applyBorder="1"/>
    <xf numFmtId="3" fontId="7" fillId="0" borderId="21" xfId="0" applyNumberFormat="1" applyFont="1" applyBorder="1"/>
    <xf numFmtId="3" fontId="8" fillId="0" borderId="19" xfId="0" applyNumberFormat="1" applyFont="1" applyBorder="1"/>
    <xf numFmtId="3" fontId="10" fillId="0" borderId="1" xfId="0" applyNumberFormat="1" applyFont="1" applyBorder="1"/>
    <xf numFmtId="3" fontId="6" fillId="0" borderId="0" xfId="0" applyNumberFormat="1" applyFont="1"/>
    <xf numFmtId="3" fontId="9" fillId="0" borderId="2" xfId="1" applyNumberFormat="1" applyFont="1" applyBorder="1" applyAlignment="1">
      <alignment horizontal="right" wrapText="1"/>
    </xf>
    <xf numFmtId="3" fontId="9" fillId="0" borderId="3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horizontal="right" wrapText="1"/>
    </xf>
    <xf numFmtId="3" fontId="7" fillId="0" borderId="19" xfId="0" applyNumberFormat="1" applyFont="1" applyBorder="1"/>
    <xf numFmtId="3" fontId="7" fillId="0" borderId="18" xfId="0" applyNumberFormat="1" applyFont="1" applyBorder="1"/>
    <xf numFmtId="3" fontId="7" fillId="0" borderId="17" xfId="0" applyNumberFormat="1" applyFont="1" applyBorder="1"/>
    <xf numFmtId="3" fontId="7" fillId="0" borderId="25" xfId="0" applyNumberFormat="1" applyFont="1" applyBorder="1"/>
    <xf numFmtId="3" fontId="8" fillId="0" borderId="17" xfId="0" applyNumberFormat="1" applyFont="1" applyBorder="1"/>
    <xf numFmtId="3" fontId="9" fillId="0" borderId="1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2" borderId="23" xfId="3" applyNumberFormat="1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3" fontId="7" fillId="0" borderId="10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20" xfId="0" applyNumberFormat="1" applyFont="1" applyBorder="1"/>
    <xf numFmtId="3" fontId="7" fillId="0" borderId="14" xfId="0" applyNumberFormat="1" applyFont="1" applyBorder="1"/>
    <xf numFmtId="3" fontId="7" fillId="0" borderId="16" xfId="0" applyNumberFormat="1" applyFont="1" applyBorder="1"/>
    <xf numFmtId="3" fontId="8" fillId="0" borderId="24" xfId="0" applyNumberFormat="1" applyFont="1" applyBorder="1"/>
    <xf numFmtId="3" fontId="8" fillId="0" borderId="20" xfId="0" applyNumberFormat="1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7" fillId="0" borderId="6" xfId="0" applyNumberFormat="1" applyFont="1" applyBorder="1"/>
    <xf numFmtId="3" fontId="7" fillId="0" borderId="8" xfId="0" applyNumberFormat="1" applyFont="1" applyBorder="1"/>
    <xf numFmtId="3" fontId="8" fillId="0" borderId="8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9" fillId="0" borderId="9" xfId="0" applyNumberFormat="1" applyFont="1" applyBorder="1"/>
    <xf numFmtId="3" fontId="9" fillId="0" borderId="7" xfId="0" applyNumberFormat="1" applyFont="1" applyBorder="1"/>
    <xf numFmtId="164" fontId="9" fillId="2" borderId="2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164" fontId="9" fillId="2" borderId="4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7" fillId="0" borderId="9" xfId="0" applyNumberFormat="1" applyFont="1" applyBorder="1"/>
    <xf numFmtId="165" fontId="7" fillId="0" borderId="2" xfId="2" applyNumberFormat="1" applyFont="1" applyBorder="1"/>
    <xf numFmtId="3" fontId="9" fillId="0" borderId="19" xfId="0" applyNumberFormat="1" applyFont="1" applyBorder="1" applyAlignment="1">
      <alignment horizontal="right" vertical="top"/>
    </xf>
    <xf numFmtId="3" fontId="9" fillId="0" borderId="18" xfId="0" applyNumberFormat="1" applyFont="1" applyBorder="1" applyAlignment="1">
      <alignment horizontal="right" vertical="top"/>
    </xf>
    <xf numFmtId="165" fontId="7" fillId="0" borderId="19" xfId="2" applyNumberFormat="1" applyFont="1" applyBorder="1"/>
    <xf numFmtId="165" fontId="7" fillId="0" borderId="18" xfId="2" applyNumberFormat="1" applyFont="1" applyBorder="1"/>
    <xf numFmtId="165" fontId="7" fillId="0" borderId="3" xfId="2" applyNumberFormat="1" applyFont="1" applyBorder="1"/>
    <xf numFmtId="165" fontId="7" fillId="0" borderId="1" xfId="2" applyNumberFormat="1" applyFont="1" applyBorder="1"/>
    <xf numFmtId="3" fontId="7" fillId="0" borderId="26" xfId="0" applyNumberFormat="1" applyFont="1" applyBorder="1"/>
    <xf numFmtId="3" fontId="10" fillId="0" borderId="19" xfId="0" applyNumberFormat="1" applyFont="1" applyBorder="1"/>
    <xf numFmtId="3" fontId="10" fillId="0" borderId="3" xfId="0" applyNumberFormat="1" applyFont="1" applyBorder="1"/>
    <xf numFmtId="3" fontId="10" fillId="0" borderId="18" xfId="0" applyNumberFormat="1" applyFont="1" applyBorder="1"/>
    <xf numFmtId="3" fontId="10" fillId="0" borderId="2" xfId="0" applyNumberFormat="1" applyFont="1" applyBorder="1"/>
    <xf numFmtId="3" fontId="7" fillId="0" borderId="27" xfId="0" applyNumberFormat="1" applyFont="1" applyBorder="1"/>
    <xf numFmtId="3" fontId="9" fillId="0" borderId="17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9" fillId="2" borderId="2" xfId="3" applyNumberFormat="1" applyFont="1" applyFill="1" applyBorder="1" applyAlignment="1">
      <alignment vertical="center"/>
    </xf>
    <xf numFmtId="3" fontId="9" fillId="3" borderId="29" xfId="3" applyNumberFormat="1" applyFont="1" applyFill="1" applyBorder="1" applyAlignment="1">
      <alignment vertical="center"/>
    </xf>
    <xf numFmtId="3" fontId="9" fillId="2" borderId="28" xfId="3" applyNumberFormat="1" applyFont="1" applyFill="1" applyBorder="1" applyAlignment="1">
      <alignment vertical="center"/>
    </xf>
  </cellXfs>
  <cellStyles count="5">
    <cellStyle name="Čárka" xfId="2" builtinId="3"/>
    <cellStyle name="Normální" xfId="0" builtinId="0"/>
    <cellStyle name="Normální 2" xfId="1" xr:uid="{71346F60-DE03-4E70-AE68-D0B5DE3D37F6}"/>
    <cellStyle name="Normální 2 2" xfId="4" xr:uid="{78B3DA3C-FF04-43F7-AD7A-2BAF5D876446}"/>
    <cellStyle name="Normální 3" xfId="3" xr:uid="{A2711E9B-7AAB-4E78-823B-335AC87E2B6A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tabSelected="1" zoomScale="106" zoomScaleNormal="106" workbookViewId="0">
      <selection sqref="A1:I1"/>
    </sheetView>
  </sheetViews>
  <sheetFormatPr defaultColWidth="9.08984375" defaultRowHeight="14.5" x14ac:dyDescent="0.35"/>
  <cols>
    <col min="1" max="1" width="73" style="3" customWidth="1"/>
    <col min="2" max="9" width="15.6328125" style="3" customWidth="1"/>
    <col min="10" max="16384" width="9.08984375" style="3"/>
  </cols>
  <sheetData>
    <row r="1" spans="1:30" ht="30" customHeight="1" thickBot="1" x14ac:dyDescent="0.4">
      <c r="A1" s="88" t="s">
        <v>46</v>
      </c>
      <c r="B1" s="89"/>
      <c r="C1" s="89"/>
      <c r="D1" s="89"/>
      <c r="E1" s="89"/>
      <c r="F1" s="89"/>
      <c r="G1" s="89"/>
      <c r="H1" s="89"/>
      <c r="I1" s="90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6" customFormat="1" ht="30" customHeight="1" thickBot="1" x14ac:dyDescent="0.4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4.5" customHeight="1" x14ac:dyDescent="0.35">
      <c r="A3" s="63" t="s">
        <v>5</v>
      </c>
      <c r="B3" s="32">
        <f>4955+3323</f>
        <v>8278</v>
      </c>
      <c r="C3" s="94">
        <v>11570</v>
      </c>
      <c r="D3" s="28">
        <f>SUM(I3-B3-C3)</f>
        <v>3295</v>
      </c>
      <c r="E3" s="29">
        <f>SUM(B3:D3)</f>
        <v>23143</v>
      </c>
      <c r="F3" s="46">
        <v>8230</v>
      </c>
      <c r="G3" s="35">
        <f>C3+3323</f>
        <v>14893</v>
      </c>
      <c r="H3" s="19">
        <v>20</v>
      </c>
      <c r="I3" s="29">
        <f>SUM(F3:H3)</f>
        <v>23143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4.5" customHeight="1" x14ac:dyDescent="0.35">
      <c r="A4" s="64" t="s">
        <v>6</v>
      </c>
      <c r="B4" s="33">
        <f>3843+4707</f>
        <v>8550</v>
      </c>
      <c r="C4" s="44">
        <v>12057</v>
      </c>
      <c r="D4" s="21">
        <f t="shared" ref="D4:D38" si="0">SUM(I4-B4-C4)</f>
        <v>1977</v>
      </c>
      <c r="E4" s="22">
        <f t="shared" ref="E4:E38" si="1">SUM(B4:D4)</f>
        <v>22584</v>
      </c>
      <c r="F4" s="47">
        <v>5795</v>
      </c>
      <c r="G4" s="21">
        <f>C4+4707</f>
        <v>16764</v>
      </c>
      <c r="H4" s="48">
        <v>25</v>
      </c>
      <c r="I4" s="22">
        <f t="shared" ref="I4:I38" si="2">SUM(F4:H4)</f>
        <v>22584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4.5" customHeight="1" x14ac:dyDescent="0.35">
      <c r="A5" s="64" t="s">
        <v>29</v>
      </c>
      <c r="B5" s="33">
        <f>2121+2952</f>
        <v>5073</v>
      </c>
      <c r="C5" s="44">
        <v>7445</v>
      </c>
      <c r="D5" s="21">
        <f t="shared" si="0"/>
        <v>1441</v>
      </c>
      <c r="E5" s="22">
        <f t="shared" si="1"/>
        <v>13959</v>
      </c>
      <c r="F5" s="47">
        <v>3562</v>
      </c>
      <c r="G5" s="21">
        <f>C5+2952</f>
        <v>10397</v>
      </c>
      <c r="H5" s="49">
        <v>0</v>
      </c>
      <c r="I5" s="22">
        <f t="shared" si="2"/>
        <v>13959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4.5" customHeight="1" x14ac:dyDescent="0.35">
      <c r="A6" s="64" t="s">
        <v>38</v>
      </c>
      <c r="B6" s="33">
        <f>4548+5087</f>
        <v>9635</v>
      </c>
      <c r="C6" s="44">
        <v>15184</v>
      </c>
      <c r="D6" s="21">
        <f t="shared" si="0"/>
        <v>1572</v>
      </c>
      <c r="E6" s="22">
        <f t="shared" si="1"/>
        <v>26391</v>
      </c>
      <c r="F6" s="47">
        <v>6120</v>
      </c>
      <c r="G6" s="21">
        <f>C6+5087</f>
        <v>20271</v>
      </c>
      <c r="H6" s="49">
        <v>0</v>
      </c>
      <c r="I6" s="22">
        <f t="shared" si="2"/>
        <v>26391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4.5" customHeight="1" x14ac:dyDescent="0.35">
      <c r="A7" s="64" t="s">
        <v>7</v>
      </c>
      <c r="B7" s="33">
        <f>6527+8042</f>
        <v>14569</v>
      </c>
      <c r="C7" s="44">
        <v>19820</v>
      </c>
      <c r="D7" s="21">
        <f t="shared" si="0"/>
        <v>3802</v>
      </c>
      <c r="E7" s="22">
        <f t="shared" si="1"/>
        <v>38191</v>
      </c>
      <c r="F7" s="47">
        <v>10174</v>
      </c>
      <c r="G7" s="21">
        <f>C7+8042</f>
        <v>27862</v>
      </c>
      <c r="H7" s="49">
        <v>155</v>
      </c>
      <c r="I7" s="22">
        <f t="shared" si="2"/>
        <v>38191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4.5" customHeight="1" x14ac:dyDescent="0.35">
      <c r="A8" s="64" t="s">
        <v>30</v>
      </c>
      <c r="B8" s="33">
        <f>2098+3955</f>
        <v>6053</v>
      </c>
      <c r="C8" s="44">
        <v>8584</v>
      </c>
      <c r="D8" s="21">
        <f t="shared" si="0"/>
        <v>2192</v>
      </c>
      <c r="E8" s="22">
        <f t="shared" si="1"/>
        <v>16829</v>
      </c>
      <c r="F8" s="47">
        <v>4290</v>
      </c>
      <c r="G8" s="21">
        <f>C8+3955</f>
        <v>12539</v>
      </c>
      <c r="H8" s="49">
        <v>0</v>
      </c>
      <c r="I8" s="22">
        <f t="shared" si="2"/>
        <v>16829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4.5" customHeight="1" x14ac:dyDescent="0.35">
      <c r="A9" s="64" t="s">
        <v>8</v>
      </c>
      <c r="B9" s="33">
        <f>2448+2708</f>
        <v>5156</v>
      </c>
      <c r="C9" s="44">
        <v>7715</v>
      </c>
      <c r="D9" s="21">
        <f t="shared" si="0"/>
        <v>1572</v>
      </c>
      <c r="E9" s="22">
        <f t="shared" si="1"/>
        <v>14443</v>
      </c>
      <c r="F9" s="47">
        <v>4020</v>
      </c>
      <c r="G9" s="21">
        <f>C9+2708</f>
        <v>10423</v>
      </c>
      <c r="H9" s="49">
        <v>0</v>
      </c>
      <c r="I9" s="22">
        <f t="shared" si="2"/>
        <v>14443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4.5" customHeight="1" x14ac:dyDescent="0.35">
      <c r="A10" s="64" t="s">
        <v>39</v>
      </c>
      <c r="B10" s="33">
        <f>4307+4189</f>
        <v>8496</v>
      </c>
      <c r="C10" s="44">
        <v>10393</v>
      </c>
      <c r="D10" s="21">
        <f t="shared" si="0"/>
        <v>3306</v>
      </c>
      <c r="E10" s="22">
        <f t="shared" si="1"/>
        <v>22195</v>
      </c>
      <c r="F10" s="47">
        <v>7554</v>
      </c>
      <c r="G10" s="21">
        <f>C10+4189</f>
        <v>14582</v>
      </c>
      <c r="H10" s="49">
        <v>59</v>
      </c>
      <c r="I10" s="22">
        <f t="shared" si="2"/>
        <v>22195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4.5" customHeight="1" x14ac:dyDescent="0.35">
      <c r="A11" s="64" t="s">
        <v>9</v>
      </c>
      <c r="B11" s="33">
        <f>2603+2868</f>
        <v>5471</v>
      </c>
      <c r="C11" s="44">
        <v>11725</v>
      </c>
      <c r="D11" s="21">
        <f t="shared" si="0"/>
        <v>605</v>
      </c>
      <c r="E11" s="22">
        <f t="shared" si="1"/>
        <v>17801</v>
      </c>
      <c r="F11" s="47">
        <v>3148</v>
      </c>
      <c r="G11" s="21">
        <f>C11+2868</f>
        <v>14593</v>
      </c>
      <c r="H11" s="49">
        <v>60</v>
      </c>
      <c r="I11" s="22">
        <f t="shared" si="2"/>
        <v>17801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4.5" customHeight="1" x14ac:dyDescent="0.35">
      <c r="A12" s="64" t="s">
        <v>10</v>
      </c>
      <c r="B12" s="33">
        <f>4140+5609</f>
        <v>9749</v>
      </c>
      <c r="C12" s="44">
        <v>13662</v>
      </c>
      <c r="D12" s="21">
        <f t="shared" si="0"/>
        <v>3690</v>
      </c>
      <c r="E12" s="22">
        <f t="shared" si="1"/>
        <v>27101</v>
      </c>
      <c r="F12" s="47">
        <v>7830</v>
      </c>
      <c r="G12" s="21">
        <f>C12+5609</f>
        <v>19271</v>
      </c>
      <c r="H12" s="49">
        <v>0</v>
      </c>
      <c r="I12" s="22">
        <f t="shared" si="2"/>
        <v>27101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4.5" customHeight="1" x14ac:dyDescent="0.35">
      <c r="A13" s="64" t="s">
        <v>31</v>
      </c>
      <c r="B13" s="33">
        <f>3998+4640</f>
        <v>8638</v>
      </c>
      <c r="C13" s="44">
        <v>13297</v>
      </c>
      <c r="D13" s="21">
        <f t="shared" si="0"/>
        <v>912</v>
      </c>
      <c r="E13" s="22">
        <f t="shared" si="1"/>
        <v>22847</v>
      </c>
      <c r="F13" s="47">
        <v>4750</v>
      </c>
      <c r="G13" s="21">
        <f>C13+4640</f>
        <v>17937</v>
      </c>
      <c r="H13" s="49">
        <v>160</v>
      </c>
      <c r="I13" s="22">
        <f t="shared" si="2"/>
        <v>22847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4.5" customHeight="1" x14ac:dyDescent="0.35">
      <c r="A14" s="64" t="s">
        <v>11</v>
      </c>
      <c r="B14" s="33">
        <f>3374+5213</f>
        <v>8587</v>
      </c>
      <c r="C14" s="44">
        <v>13019</v>
      </c>
      <c r="D14" s="21">
        <f t="shared" si="0"/>
        <v>3866</v>
      </c>
      <c r="E14" s="22">
        <f t="shared" si="1"/>
        <v>25472</v>
      </c>
      <c r="F14" s="47">
        <v>7230</v>
      </c>
      <c r="G14" s="21">
        <f>C14+5213</f>
        <v>18232</v>
      </c>
      <c r="H14" s="49">
        <v>10</v>
      </c>
      <c r="I14" s="22">
        <f t="shared" si="2"/>
        <v>25472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4.5" customHeight="1" x14ac:dyDescent="0.35">
      <c r="A15" s="64" t="s">
        <v>40</v>
      </c>
      <c r="B15" s="33">
        <f>2320+2942</f>
        <v>5262</v>
      </c>
      <c r="C15" s="44">
        <v>8041</v>
      </c>
      <c r="D15" s="21">
        <f t="shared" si="0"/>
        <v>1939</v>
      </c>
      <c r="E15" s="22">
        <f t="shared" si="1"/>
        <v>15242</v>
      </c>
      <c r="F15" s="47">
        <v>4259</v>
      </c>
      <c r="G15" s="21">
        <f>C15+2942</f>
        <v>10983</v>
      </c>
      <c r="H15" s="49">
        <v>0</v>
      </c>
      <c r="I15" s="22">
        <f t="shared" si="2"/>
        <v>15242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4.5" customHeight="1" x14ac:dyDescent="0.35">
      <c r="A16" s="64" t="s">
        <v>12</v>
      </c>
      <c r="B16" s="33">
        <f>4244+5926</f>
        <v>10170</v>
      </c>
      <c r="C16" s="44">
        <v>15114</v>
      </c>
      <c r="D16" s="21">
        <f t="shared" si="0"/>
        <v>1556</v>
      </c>
      <c r="E16" s="22">
        <f t="shared" si="1"/>
        <v>26840</v>
      </c>
      <c r="F16" s="47">
        <v>5750</v>
      </c>
      <c r="G16" s="21">
        <f>C16+5926</f>
        <v>21040</v>
      </c>
      <c r="H16" s="49">
        <v>50</v>
      </c>
      <c r="I16" s="22">
        <f t="shared" si="2"/>
        <v>26840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5" customHeight="1" x14ac:dyDescent="0.35">
      <c r="A17" s="65" t="s">
        <v>32</v>
      </c>
      <c r="B17" s="33">
        <f>1694+2806</f>
        <v>4500</v>
      </c>
      <c r="C17" s="44">
        <v>7659</v>
      </c>
      <c r="D17" s="21">
        <f t="shared" si="0"/>
        <v>1657</v>
      </c>
      <c r="E17" s="22">
        <f t="shared" si="1"/>
        <v>13816</v>
      </c>
      <c r="F17" s="47">
        <v>3321</v>
      </c>
      <c r="G17" s="21">
        <f>C17+2806</f>
        <v>10465</v>
      </c>
      <c r="H17" s="49">
        <v>30</v>
      </c>
      <c r="I17" s="22">
        <f t="shared" si="2"/>
        <v>13816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5" customHeight="1" x14ac:dyDescent="0.35">
      <c r="A18" s="64" t="s">
        <v>45</v>
      </c>
      <c r="B18" s="33">
        <f>2063+2668</f>
        <v>4731</v>
      </c>
      <c r="C18" s="44">
        <v>7334</v>
      </c>
      <c r="D18" s="21">
        <f t="shared" si="0"/>
        <v>2422</v>
      </c>
      <c r="E18" s="22">
        <f t="shared" si="1"/>
        <v>14487</v>
      </c>
      <c r="F18" s="47">
        <v>4485</v>
      </c>
      <c r="G18" s="21">
        <f>C18+2668</f>
        <v>10002</v>
      </c>
      <c r="H18" s="49">
        <v>0</v>
      </c>
      <c r="I18" s="22">
        <f t="shared" si="2"/>
        <v>14487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5" customHeight="1" x14ac:dyDescent="0.35">
      <c r="A19" s="64" t="s">
        <v>13</v>
      </c>
      <c r="B19" s="33">
        <f>1827+1439</f>
        <v>3266</v>
      </c>
      <c r="C19" s="44">
        <v>5782</v>
      </c>
      <c r="D19" s="21">
        <f t="shared" si="0"/>
        <v>353</v>
      </c>
      <c r="E19" s="22">
        <f t="shared" si="1"/>
        <v>9401</v>
      </c>
      <c r="F19" s="47">
        <v>2120</v>
      </c>
      <c r="G19" s="21">
        <f>C19+1439</f>
        <v>7221</v>
      </c>
      <c r="H19" s="49">
        <v>60</v>
      </c>
      <c r="I19" s="22">
        <f t="shared" si="2"/>
        <v>9401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5" customHeight="1" x14ac:dyDescent="0.35">
      <c r="A20" s="64" t="s">
        <v>14</v>
      </c>
      <c r="B20" s="33">
        <f>1889+2997</f>
        <v>4886</v>
      </c>
      <c r="C20" s="44">
        <v>7425</v>
      </c>
      <c r="D20" s="21">
        <f t="shared" si="0"/>
        <v>1966</v>
      </c>
      <c r="E20" s="22">
        <f t="shared" si="1"/>
        <v>14277</v>
      </c>
      <c r="F20" s="47">
        <v>3855</v>
      </c>
      <c r="G20" s="21">
        <f>C20+2997</f>
        <v>10422</v>
      </c>
      <c r="H20" s="49">
        <v>0</v>
      </c>
      <c r="I20" s="22">
        <f t="shared" si="2"/>
        <v>14277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5" customHeight="1" x14ac:dyDescent="0.35">
      <c r="A21" s="64" t="s">
        <v>42</v>
      </c>
      <c r="B21" s="33">
        <f>3396+2671</f>
        <v>6067</v>
      </c>
      <c r="C21" s="44">
        <v>7941</v>
      </c>
      <c r="D21" s="21">
        <f t="shared" si="0"/>
        <v>2654</v>
      </c>
      <c r="E21" s="22">
        <f t="shared" si="1"/>
        <v>16662</v>
      </c>
      <c r="F21" s="47">
        <v>6006</v>
      </c>
      <c r="G21" s="21">
        <f>C21+2671</f>
        <v>10612</v>
      </c>
      <c r="H21" s="49">
        <v>44</v>
      </c>
      <c r="I21" s="22">
        <f t="shared" si="2"/>
        <v>16662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5" customHeight="1" thickBot="1" x14ac:dyDescent="0.4">
      <c r="A22" s="66" t="s">
        <v>15</v>
      </c>
      <c r="B22" s="34">
        <f>2128+3606</f>
        <v>5734</v>
      </c>
      <c r="C22" s="96">
        <v>7225</v>
      </c>
      <c r="D22" s="26">
        <f t="shared" si="0"/>
        <v>552</v>
      </c>
      <c r="E22" s="27">
        <f t="shared" si="1"/>
        <v>13511</v>
      </c>
      <c r="F22" s="50">
        <v>2680</v>
      </c>
      <c r="G22" s="36">
        <f>C22+3606</f>
        <v>10831</v>
      </c>
      <c r="H22" s="51">
        <v>0</v>
      </c>
      <c r="I22" s="39">
        <f t="shared" si="2"/>
        <v>13511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5" customHeight="1" x14ac:dyDescent="0.35">
      <c r="A23" s="67" t="s">
        <v>16</v>
      </c>
      <c r="B23" s="32">
        <f>6667+6675</f>
        <v>13342</v>
      </c>
      <c r="C23" s="95">
        <v>49428</v>
      </c>
      <c r="D23" s="35">
        <f t="shared" si="0"/>
        <v>193</v>
      </c>
      <c r="E23" s="52">
        <f t="shared" si="1"/>
        <v>62963</v>
      </c>
      <c r="F23" s="18">
        <v>6800</v>
      </c>
      <c r="G23" s="35">
        <f>C23+6675</f>
        <v>56103</v>
      </c>
      <c r="H23" s="18">
        <v>60</v>
      </c>
      <c r="I23" s="29">
        <f t="shared" si="2"/>
        <v>62963</v>
      </c>
      <c r="J23" s="1"/>
      <c r="K23" s="2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5" customHeight="1" x14ac:dyDescent="0.35">
      <c r="A24" s="68" t="s">
        <v>17</v>
      </c>
      <c r="B24" s="33">
        <f>7036+6515</f>
        <v>13551</v>
      </c>
      <c r="C24" s="45">
        <v>42504</v>
      </c>
      <c r="D24" s="21">
        <f t="shared" si="0"/>
        <v>4614</v>
      </c>
      <c r="E24" s="53">
        <f t="shared" si="1"/>
        <v>60669</v>
      </c>
      <c r="F24" s="21">
        <v>11500</v>
      </c>
      <c r="G24" s="21">
        <f>C24+6515</f>
        <v>49019</v>
      </c>
      <c r="H24" s="21">
        <v>150</v>
      </c>
      <c r="I24" s="22">
        <f t="shared" si="2"/>
        <v>60669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5" customHeight="1" x14ac:dyDescent="0.35">
      <c r="A25" s="68" t="s">
        <v>18</v>
      </c>
      <c r="B25" s="33">
        <f>6844+5330</f>
        <v>12174</v>
      </c>
      <c r="C25" s="45">
        <v>49155</v>
      </c>
      <c r="D25" s="21">
        <f t="shared" si="0"/>
        <v>4059</v>
      </c>
      <c r="E25" s="53">
        <f t="shared" si="1"/>
        <v>65388</v>
      </c>
      <c r="F25" s="21">
        <v>10613</v>
      </c>
      <c r="G25" s="21">
        <f>C25+5330</f>
        <v>54485</v>
      </c>
      <c r="H25" s="21">
        <v>290</v>
      </c>
      <c r="I25" s="22">
        <f t="shared" si="2"/>
        <v>65388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5" customHeight="1" x14ac:dyDescent="0.35">
      <c r="A26" s="68" t="s">
        <v>19</v>
      </c>
      <c r="B26" s="33">
        <f>7442+7570</f>
        <v>15012</v>
      </c>
      <c r="C26" s="45">
        <v>56264</v>
      </c>
      <c r="D26" s="21">
        <f t="shared" si="0"/>
        <v>7368</v>
      </c>
      <c r="E26" s="53">
        <f t="shared" si="1"/>
        <v>78644</v>
      </c>
      <c r="F26" s="54">
        <v>14810</v>
      </c>
      <c r="G26" s="21">
        <f>C26+7570</f>
        <v>63834</v>
      </c>
      <c r="H26" s="54">
        <v>0</v>
      </c>
      <c r="I26" s="22">
        <f t="shared" si="2"/>
        <v>78644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5" customHeight="1" x14ac:dyDescent="0.35">
      <c r="A27" s="68" t="s">
        <v>20</v>
      </c>
      <c r="B27" s="33">
        <f>5682+5877</f>
        <v>11559</v>
      </c>
      <c r="C27" s="45">
        <v>40557</v>
      </c>
      <c r="D27" s="21">
        <f t="shared" si="0"/>
        <v>4301</v>
      </c>
      <c r="E27" s="53">
        <f t="shared" si="1"/>
        <v>56417</v>
      </c>
      <c r="F27" s="21">
        <v>9873</v>
      </c>
      <c r="G27" s="21">
        <f>C27+5877</f>
        <v>46434</v>
      </c>
      <c r="H27" s="21">
        <v>110</v>
      </c>
      <c r="I27" s="22">
        <f t="shared" si="2"/>
        <v>56417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5" customHeight="1" x14ac:dyDescent="0.35">
      <c r="A28" s="68" t="s">
        <v>21</v>
      </c>
      <c r="B28" s="33">
        <f>6932+4817</f>
        <v>11749</v>
      </c>
      <c r="C28" s="45">
        <v>43126</v>
      </c>
      <c r="D28" s="21">
        <f t="shared" si="0"/>
        <v>1793</v>
      </c>
      <c r="E28" s="53">
        <f t="shared" si="1"/>
        <v>56668</v>
      </c>
      <c r="F28" s="21">
        <v>8725</v>
      </c>
      <c r="G28" s="21">
        <f>C28+4817</f>
        <v>47943</v>
      </c>
      <c r="H28" s="21">
        <v>0</v>
      </c>
      <c r="I28" s="22">
        <f t="shared" si="2"/>
        <v>56668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5" customHeight="1" x14ac:dyDescent="0.35">
      <c r="A29" s="68" t="s">
        <v>22</v>
      </c>
      <c r="B29" s="33">
        <f>7072+5918</f>
        <v>12990</v>
      </c>
      <c r="C29" s="45">
        <v>39116</v>
      </c>
      <c r="D29" s="21">
        <f t="shared" si="0"/>
        <v>171</v>
      </c>
      <c r="E29" s="53">
        <f t="shared" si="1"/>
        <v>52277</v>
      </c>
      <c r="F29" s="21">
        <v>7143</v>
      </c>
      <c r="G29" s="21">
        <f>C29+5918</f>
        <v>45034</v>
      </c>
      <c r="H29" s="21">
        <v>100</v>
      </c>
      <c r="I29" s="22">
        <f t="shared" si="2"/>
        <v>52277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5" customHeight="1" x14ac:dyDescent="0.35">
      <c r="A30" s="68" t="s">
        <v>23</v>
      </c>
      <c r="B30" s="33">
        <f>7392+4788</f>
        <v>12180</v>
      </c>
      <c r="C30" s="45">
        <v>40700</v>
      </c>
      <c r="D30" s="21">
        <f t="shared" si="0"/>
        <v>3001</v>
      </c>
      <c r="E30" s="53">
        <f t="shared" si="1"/>
        <v>55881</v>
      </c>
      <c r="F30" s="21">
        <v>10293</v>
      </c>
      <c r="G30" s="21">
        <f>C30+4788</f>
        <v>45488</v>
      </c>
      <c r="H30" s="21">
        <v>100</v>
      </c>
      <c r="I30" s="22">
        <f t="shared" si="2"/>
        <v>55881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5" customHeight="1" x14ac:dyDescent="0.35">
      <c r="A31" s="68" t="s">
        <v>24</v>
      </c>
      <c r="B31" s="33">
        <f>8242+5714</f>
        <v>13956</v>
      </c>
      <c r="C31" s="45">
        <v>45773</v>
      </c>
      <c r="D31" s="21">
        <f t="shared" si="0"/>
        <v>2198</v>
      </c>
      <c r="E31" s="53">
        <f t="shared" si="1"/>
        <v>61927</v>
      </c>
      <c r="F31" s="21">
        <v>10226</v>
      </c>
      <c r="G31" s="21">
        <f>C31+5714</f>
        <v>51487</v>
      </c>
      <c r="H31" s="21">
        <v>214</v>
      </c>
      <c r="I31" s="22">
        <f t="shared" si="2"/>
        <v>61927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5" customHeight="1" x14ac:dyDescent="0.35">
      <c r="A32" s="68" t="s">
        <v>25</v>
      </c>
      <c r="B32" s="33">
        <f>6852+5774</f>
        <v>12626</v>
      </c>
      <c r="C32" s="45">
        <v>43744</v>
      </c>
      <c r="D32" s="21">
        <f t="shared" si="0"/>
        <v>2059</v>
      </c>
      <c r="E32" s="53">
        <f t="shared" si="1"/>
        <v>58429</v>
      </c>
      <c r="F32" s="21">
        <v>8871</v>
      </c>
      <c r="G32" s="21">
        <f>C32+5774</f>
        <v>49518</v>
      </c>
      <c r="H32" s="21">
        <v>40</v>
      </c>
      <c r="I32" s="22">
        <f t="shared" si="2"/>
        <v>58429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4.5" customHeight="1" x14ac:dyDescent="0.35">
      <c r="A33" s="68" t="s">
        <v>26</v>
      </c>
      <c r="B33" s="33">
        <f>5525+4301</f>
        <v>9826</v>
      </c>
      <c r="C33" s="45">
        <v>38766</v>
      </c>
      <c r="D33" s="21">
        <f t="shared" si="0"/>
        <v>4178</v>
      </c>
      <c r="E33" s="53">
        <f t="shared" si="1"/>
        <v>52770</v>
      </c>
      <c r="F33" s="21">
        <v>9542</v>
      </c>
      <c r="G33" s="21">
        <f>C33+4301</f>
        <v>43067</v>
      </c>
      <c r="H33" s="21">
        <v>161</v>
      </c>
      <c r="I33" s="22">
        <f t="shared" si="2"/>
        <v>52770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4.5" customHeight="1" x14ac:dyDescent="0.35">
      <c r="A34" s="69" t="s">
        <v>44</v>
      </c>
      <c r="B34" s="42">
        <f>4072+4012</f>
        <v>8084</v>
      </c>
      <c r="C34" s="45">
        <v>11960</v>
      </c>
      <c r="D34" s="21">
        <f>SUM(I34-B34-C34)</f>
        <v>2888</v>
      </c>
      <c r="E34" s="53">
        <f t="shared" si="1"/>
        <v>22932</v>
      </c>
      <c r="F34" s="21">
        <v>6945</v>
      </c>
      <c r="G34" s="21">
        <f>C34+4012</f>
        <v>15972</v>
      </c>
      <c r="H34" s="21">
        <v>15</v>
      </c>
      <c r="I34" s="22">
        <f t="shared" si="2"/>
        <v>22932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4.5" customHeight="1" x14ac:dyDescent="0.35">
      <c r="A35" s="68" t="s">
        <v>27</v>
      </c>
      <c r="B35" s="33">
        <f>6832+6490</f>
        <v>13322</v>
      </c>
      <c r="C35" s="45">
        <v>43589</v>
      </c>
      <c r="D35" s="21">
        <f t="shared" si="0"/>
        <v>1626</v>
      </c>
      <c r="E35" s="53">
        <f t="shared" si="1"/>
        <v>58537</v>
      </c>
      <c r="F35" s="21">
        <v>8458</v>
      </c>
      <c r="G35" s="21">
        <f>C35+6490</f>
        <v>50079</v>
      </c>
      <c r="H35" s="21">
        <v>0</v>
      </c>
      <c r="I35" s="22">
        <f t="shared" si="2"/>
        <v>58537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4.5" customHeight="1" thickBot="1" x14ac:dyDescent="0.4">
      <c r="A36" s="70" t="s">
        <v>28</v>
      </c>
      <c r="B36" s="34">
        <f>7842+5826</f>
        <v>13668</v>
      </c>
      <c r="C36" s="45">
        <v>47575</v>
      </c>
      <c r="D36" s="37">
        <f t="shared" si="0"/>
        <v>731</v>
      </c>
      <c r="E36" s="55">
        <f t="shared" si="1"/>
        <v>61974</v>
      </c>
      <c r="F36" s="56">
        <v>8193</v>
      </c>
      <c r="G36" s="36">
        <f>C36+5826</f>
        <v>53401</v>
      </c>
      <c r="H36" s="56">
        <v>380</v>
      </c>
      <c r="I36" s="39">
        <f t="shared" si="2"/>
        <v>61974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4.5" customHeight="1" thickBot="1" x14ac:dyDescent="0.4">
      <c r="A37" s="71" t="s">
        <v>43</v>
      </c>
      <c r="B37" s="40">
        <f>35000+54549</f>
        <v>89549</v>
      </c>
      <c r="C37" s="57">
        <v>0</v>
      </c>
      <c r="D37" s="23">
        <f t="shared" si="0"/>
        <v>61007</v>
      </c>
      <c r="E37" s="58">
        <f t="shared" si="1"/>
        <v>150556</v>
      </c>
      <c r="F37" s="23">
        <v>89007</v>
      </c>
      <c r="G37" s="18">
        <f>C37+54549</f>
        <v>54549</v>
      </c>
      <c r="H37" s="23">
        <v>7000</v>
      </c>
      <c r="I37" s="59">
        <f t="shared" si="2"/>
        <v>150556</v>
      </c>
      <c r="J37" s="1"/>
      <c r="K37" s="2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4.5" customHeight="1" thickBot="1" x14ac:dyDescent="0.4">
      <c r="A38" s="72" t="s">
        <v>37</v>
      </c>
      <c r="B38" s="60">
        <v>7700</v>
      </c>
      <c r="C38" s="60">
        <v>0</v>
      </c>
      <c r="D38" s="61">
        <f t="shared" si="0"/>
        <v>18216</v>
      </c>
      <c r="E38" s="30">
        <f t="shared" si="1"/>
        <v>25916</v>
      </c>
      <c r="F38" s="62">
        <v>18416</v>
      </c>
      <c r="G38" s="23">
        <v>7000</v>
      </c>
      <c r="H38" s="61">
        <v>500</v>
      </c>
      <c r="I38" s="30">
        <f t="shared" si="2"/>
        <v>25916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5" x14ac:dyDescent="0.35">
      <c r="A42" s="2"/>
      <c r="B42" s="2"/>
      <c r="C42" s="2"/>
      <c r="D42" s="2"/>
      <c r="E42" s="25"/>
      <c r="F42" s="2"/>
      <c r="G42" s="2"/>
      <c r="H42" s="2"/>
      <c r="I42" s="2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sqref="A1:I1"/>
    </sheetView>
  </sheetViews>
  <sheetFormatPr defaultColWidth="9.08984375" defaultRowHeight="14.5" x14ac:dyDescent="0.35"/>
  <cols>
    <col min="1" max="1" width="73" customWidth="1"/>
    <col min="2" max="9" width="15.6328125" customWidth="1"/>
  </cols>
  <sheetData>
    <row r="1" spans="1:10" ht="30" customHeight="1" thickBot="1" x14ac:dyDescent="0.4">
      <c r="A1" s="91" t="s">
        <v>47</v>
      </c>
      <c r="B1" s="92"/>
      <c r="C1" s="92"/>
      <c r="D1" s="92"/>
      <c r="E1" s="92"/>
      <c r="F1" s="92"/>
      <c r="G1" s="92"/>
      <c r="H1" s="92"/>
      <c r="I1" s="93"/>
      <c r="J1" s="7"/>
    </row>
    <row r="2" spans="1:10" ht="30" customHeight="1" thickBot="1" x14ac:dyDescent="0.4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17"/>
    </row>
    <row r="3" spans="1:10" x14ac:dyDescent="0.35">
      <c r="A3" s="63" t="s">
        <v>5</v>
      </c>
      <c r="B3" s="75">
        <f>'2026'!B3*1.2</f>
        <v>9933.6</v>
      </c>
      <c r="C3" s="35">
        <f>'2026'!C3*1.03</f>
        <v>11917.1</v>
      </c>
      <c r="D3" s="28">
        <f>SUM(I3-B3-C3)</f>
        <v>3395.09</v>
      </c>
      <c r="E3" s="29">
        <f>SUM(B3:D3)</f>
        <v>25245.79</v>
      </c>
      <c r="F3" s="77">
        <f>'2026'!F3*1.2</f>
        <v>9876</v>
      </c>
      <c r="G3" s="35">
        <f>'2026'!G3*1.03</f>
        <v>15339.79</v>
      </c>
      <c r="H3" s="28">
        <f>'2026'!H3+10</f>
        <v>30</v>
      </c>
      <c r="I3" s="29">
        <f>SUM(F3:H3)</f>
        <v>25245.79</v>
      </c>
      <c r="J3" s="7"/>
    </row>
    <row r="4" spans="1:10" x14ac:dyDescent="0.35">
      <c r="A4" s="64" t="s">
        <v>6</v>
      </c>
      <c r="B4" s="42">
        <f>'2026'!B4*1.2</f>
        <v>10260</v>
      </c>
      <c r="C4" s="21">
        <f>'2026'!C4*1.03</f>
        <v>12418.710000000001</v>
      </c>
      <c r="D4" s="21">
        <f t="shared" ref="D4:D38" si="0">SUM(I4-B4-C4)</f>
        <v>1577.2100000000009</v>
      </c>
      <c r="E4" s="22">
        <f t="shared" ref="E4:E38" si="1">SUM(B4:D4)</f>
        <v>24255.919999999998</v>
      </c>
      <c r="F4" s="79">
        <f>'2026'!F4*1.2</f>
        <v>6954</v>
      </c>
      <c r="G4" s="21">
        <f>'2026'!G4*1.03</f>
        <v>17266.920000000002</v>
      </c>
      <c r="H4" s="48">
        <f>'2026'!H4+10</f>
        <v>35</v>
      </c>
      <c r="I4" s="22">
        <f t="shared" ref="I4:I38" si="2">SUM(F4:H4)</f>
        <v>24255.920000000002</v>
      </c>
      <c r="J4" s="7"/>
    </row>
    <row r="5" spans="1:10" x14ac:dyDescent="0.35">
      <c r="A5" s="64" t="s">
        <v>29</v>
      </c>
      <c r="B5" s="42">
        <f>'2026'!B5*1.2</f>
        <v>6087.5999999999995</v>
      </c>
      <c r="C5" s="21">
        <f>'2026'!C5*1.03</f>
        <v>7668.35</v>
      </c>
      <c r="D5" s="21">
        <f t="shared" si="0"/>
        <v>1237.3599999999988</v>
      </c>
      <c r="E5" s="22">
        <f t="shared" si="1"/>
        <v>14993.31</v>
      </c>
      <c r="F5" s="79">
        <f>'2026'!F5*1.2</f>
        <v>4274.3999999999996</v>
      </c>
      <c r="G5" s="21">
        <f>'2026'!G5*1.03</f>
        <v>10708.91</v>
      </c>
      <c r="H5" s="48">
        <f>'2026'!H5+10</f>
        <v>10</v>
      </c>
      <c r="I5" s="22">
        <f t="shared" si="2"/>
        <v>14993.31</v>
      </c>
      <c r="J5" s="7"/>
    </row>
    <row r="6" spans="1:10" x14ac:dyDescent="0.35">
      <c r="A6" s="64" t="s">
        <v>38</v>
      </c>
      <c r="B6" s="42">
        <f>'2026'!B6*1.2</f>
        <v>11562</v>
      </c>
      <c r="C6" s="21">
        <f>'2026'!C6*1.03</f>
        <v>15639.52</v>
      </c>
      <c r="D6" s="21">
        <f t="shared" si="0"/>
        <v>1071.6100000000006</v>
      </c>
      <c r="E6" s="22">
        <f t="shared" si="1"/>
        <v>28273.13</v>
      </c>
      <c r="F6" s="79">
        <f>'2026'!F6*1.2</f>
        <v>7344</v>
      </c>
      <c r="G6" s="21">
        <f>'2026'!G6*1.03</f>
        <v>20879.13</v>
      </c>
      <c r="H6" s="48">
        <v>50</v>
      </c>
      <c r="I6" s="22">
        <f t="shared" si="2"/>
        <v>28273.13</v>
      </c>
      <c r="J6" s="7"/>
    </row>
    <row r="7" spans="1:10" x14ac:dyDescent="0.35">
      <c r="A7" s="64" t="s">
        <v>7</v>
      </c>
      <c r="B7" s="42">
        <f>'2026'!B7*1.2</f>
        <v>17482.8</v>
      </c>
      <c r="C7" s="21">
        <f>'2026'!C7*1.03</f>
        <v>20414.600000000002</v>
      </c>
      <c r="D7" s="21">
        <f t="shared" si="0"/>
        <v>3174.260000000002</v>
      </c>
      <c r="E7" s="22">
        <f t="shared" si="1"/>
        <v>41071.660000000003</v>
      </c>
      <c r="F7" s="79">
        <f>'2026'!F7*1.2</f>
        <v>12208.8</v>
      </c>
      <c r="G7" s="21">
        <f>'2026'!G7*1.03</f>
        <v>28697.86</v>
      </c>
      <c r="H7" s="48">
        <f>'2026'!H7+10</f>
        <v>165</v>
      </c>
      <c r="I7" s="22">
        <f t="shared" si="2"/>
        <v>41071.660000000003</v>
      </c>
      <c r="J7" s="7"/>
    </row>
    <row r="8" spans="1:10" x14ac:dyDescent="0.35">
      <c r="A8" s="64" t="s">
        <v>30</v>
      </c>
      <c r="B8" s="42">
        <f>'2026'!B8*1.2</f>
        <v>7263.5999999999995</v>
      </c>
      <c r="C8" s="21">
        <f>'2026'!C8*1.03</f>
        <v>8841.52</v>
      </c>
      <c r="D8" s="21">
        <f t="shared" si="0"/>
        <v>1968.0499999999993</v>
      </c>
      <c r="E8" s="22">
        <f t="shared" si="1"/>
        <v>18073.169999999998</v>
      </c>
      <c r="F8" s="79">
        <f>'2026'!F8*1.2</f>
        <v>5148</v>
      </c>
      <c r="G8" s="21">
        <f>'2026'!G8*1.03</f>
        <v>12915.17</v>
      </c>
      <c r="H8" s="48">
        <f>'2026'!H8+10</f>
        <v>10</v>
      </c>
      <c r="I8" s="22">
        <f t="shared" si="2"/>
        <v>18073.169999999998</v>
      </c>
      <c r="J8" s="7"/>
    </row>
    <row r="9" spans="1:10" x14ac:dyDescent="0.35">
      <c r="A9" s="64" t="s">
        <v>8</v>
      </c>
      <c r="B9" s="42">
        <f>'2026'!B9*1.2</f>
        <v>6187.2</v>
      </c>
      <c r="C9" s="21">
        <f>'2026'!C9*1.03</f>
        <v>7946.45</v>
      </c>
      <c r="D9" s="21">
        <f t="shared" si="0"/>
        <v>1436.0400000000018</v>
      </c>
      <c r="E9" s="22">
        <f t="shared" si="1"/>
        <v>15569.690000000002</v>
      </c>
      <c r="F9" s="79">
        <f>'2026'!F9*1.2</f>
        <v>4824</v>
      </c>
      <c r="G9" s="21">
        <f>'2026'!G9*1.03</f>
        <v>10735.69</v>
      </c>
      <c r="H9" s="48">
        <f>'2026'!H9+10</f>
        <v>10</v>
      </c>
      <c r="I9" s="22">
        <f t="shared" si="2"/>
        <v>15569.69</v>
      </c>
      <c r="J9" s="7"/>
    </row>
    <row r="10" spans="1:10" x14ac:dyDescent="0.35">
      <c r="A10" s="64" t="s">
        <v>39</v>
      </c>
      <c r="B10" s="42">
        <f>'2026'!B10*1.2</f>
        <v>10195.199999999999</v>
      </c>
      <c r="C10" s="21">
        <f>'2026'!C10*1.03</f>
        <v>10704.79</v>
      </c>
      <c r="D10" s="21">
        <f t="shared" si="0"/>
        <v>3253.2700000000023</v>
      </c>
      <c r="E10" s="22">
        <f t="shared" si="1"/>
        <v>24153.260000000002</v>
      </c>
      <c r="F10" s="79">
        <f>'2026'!F10*1.2</f>
        <v>9064.7999999999993</v>
      </c>
      <c r="G10" s="21">
        <f>'2026'!G10*1.03</f>
        <v>15019.460000000001</v>
      </c>
      <c r="H10" s="48">
        <f>'2026'!H10+10</f>
        <v>69</v>
      </c>
      <c r="I10" s="22">
        <f t="shared" si="2"/>
        <v>24153.260000000002</v>
      </c>
      <c r="J10" s="7"/>
    </row>
    <row r="11" spans="1:10" x14ac:dyDescent="0.35">
      <c r="A11" s="64" t="s">
        <v>9</v>
      </c>
      <c r="B11" s="42">
        <f>'2026'!B11*1.2</f>
        <v>6565.2</v>
      </c>
      <c r="C11" s="21">
        <f>'2026'!C11*1.03</f>
        <v>12076.75</v>
      </c>
      <c r="D11" s="21">
        <f t="shared" si="0"/>
        <v>536.43999999999869</v>
      </c>
      <c r="E11" s="22">
        <f t="shared" si="1"/>
        <v>19178.39</v>
      </c>
      <c r="F11" s="79">
        <f>'2026'!F11*1.2</f>
        <v>3777.6</v>
      </c>
      <c r="G11" s="21">
        <f>'2026'!G11*1.03+300</f>
        <v>15330.79</v>
      </c>
      <c r="H11" s="48">
        <f>'2026'!H11+10</f>
        <v>70</v>
      </c>
      <c r="I11" s="22">
        <f t="shared" si="2"/>
        <v>19178.39</v>
      </c>
      <c r="J11" s="7"/>
    </row>
    <row r="12" spans="1:10" x14ac:dyDescent="0.35">
      <c r="A12" s="64" t="s">
        <v>10</v>
      </c>
      <c r="B12" s="42">
        <f>'2026'!B12*1.2</f>
        <v>11698.8</v>
      </c>
      <c r="C12" s="21">
        <f>'2026'!C12*1.03</f>
        <v>14071.86</v>
      </c>
      <c r="D12" s="21">
        <f t="shared" si="0"/>
        <v>3484.4700000000012</v>
      </c>
      <c r="E12" s="22">
        <f t="shared" si="1"/>
        <v>29255.13</v>
      </c>
      <c r="F12" s="79">
        <f>'2026'!F12*1.2</f>
        <v>9396</v>
      </c>
      <c r="G12" s="21">
        <f>'2026'!G12*1.03</f>
        <v>19849.13</v>
      </c>
      <c r="H12" s="48">
        <f>'2026'!H12+10</f>
        <v>10</v>
      </c>
      <c r="I12" s="22">
        <f t="shared" si="2"/>
        <v>29255.13</v>
      </c>
      <c r="J12" s="7"/>
    </row>
    <row r="13" spans="1:10" x14ac:dyDescent="0.35">
      <c r="A13" s="64" t="s">
        <v>31</v>
      </c>
      <c r="B13" s="42">
        <f>'2026'!B13*1.2</f>
        <v>10365.6</v>
      </c>
      <c r="C13" s="21">
        <f>'2026'!C13*1.03</f>
        <v>13695.91</v>
      </c>
      <c r="D13" s="21">
        <f t="shared" si="0"/>
        <v>783.60000000000036</v>
      </c>
      <c r="E13" s="22">
        <f t="shared" si="1"/>
        <v>24845.11</v>
      </c>
      <c r="F13" s="79">
        <f>'2026'!F13*1.2</f>
        <v>5700</v>
      </c>
      <c r="G13" s="21">
        <f>'2026'!G13*1.03+500</f>
        <v>18975.11</v>
      </c>
      <c r="H13" s="48">
        <f>'2026'!H13+10</f>
        <v>170</v>
      </c>
      <c r="I13" s="22">
        <f t="shared" si="2"/>
        <v>24845.11</v>
      </c>
      <c r="J13" s="7"/>
    </row>
    <row r="14" spans="1:10" x14ac:dyDescent="0.35">
      <c r="A14" s="64" t="s">
        <v>11</v>
      </c>
      <c r="B14" s="42">
        <f>'2026'!B14*1.2</f>
        <v>10304.4</v>
      </c>
      <c r="C14" s="21">
        <f>'2026'!C14*1.03</f>
        <v>13409.57</v>
      </c>
      <c r="D14" s="21">
        <f t="shared" si="0"/>
        <v>3760.989999999998</v>
      </c>
      <c r="E14" s="22">
        <f t="shared" si="1"/>
        <v>27474.959999999999</v>
      </c>
      <c r="F14" s="79">
        <f>'2026'!F14*1.2</f>
        <v>8676</v>
      </c>
      <c r="G14" s="21">
        <f>'2026'!G14*1.03</f>
        <v>18778.96</v>
      </c>
      <c r="H14" s="48">
        <f>'2026'!H14+10</f>
        <v>20</v>
      </c>
      <c r="I14" s="22">
        <f t="shared" si="2"/>
        <v>27474.959999999999</v>
      </c>
      <c r="J14" s="7"/>
    </row>
    <row r="15" spans="1:10" x14ac:dyDescent="0.35">
      <c r="A15" s="64" t="s">
        <v>40</v>
      </c>
      <c r="B15" s="42">
        <f>'2026'!B15*1.2</f>
        <v>6314.4</v>
      </c>
      <c r="C15" s="21">
        <f>'2026'!C15*1.03</f>
        <v>8282.23</v>
      </c>
      <c r="D15" s="21">
        <f t="shared" si="0"/>
        <v>1836.6600000000017</v>
      </c>
      <c r="E15" s="22">
        <f t="shared" si="1"/>
        <v>16433.29</v>
      </c>
      <c r="F15" s="79">
        <f>'2026'!F15*1.2</f>
        <v>5110.8</v>
      </c>
      <c r="G15" s="21">
        <f>'2026'!G15*1.03</f>
        <v>11312.49</v>
      </c>
      <c r="H15" s="48">
        <f>'2026'!H15+10</f>
        <v>10</v>
      </c>
      <c r="I15" s="22">
        <f t="shared" si="2"/>
        <v>16433.29</v>
      </c>
      <c r="J15" s="7"/>
    </row>
    <row r="16" spans="1:10" x14ac:dyDescent="0.35">
      <c r="A16" s="64" t="s">
        <v>12</v>
      </c>
      <c r="B16" s="42">
        <f>'2026'!B16*1.2</f>
        <v>12204</v>
      </c>
      <c r="C16" s="21">
        <f>'2026'!C16*1.03</f>
        <v>15567.42</v>
      </c>
      <c r="D16" s="21">
        <f t="shared" si="0"/>
        <v>1159.7800000000007</v>
      </c>
      <c r="E16" s="22">
        <f t="shared" si="1"/>
        <v>28931.199999999997</v>
      </c>
      <c r="F16" s="79">
        <f>'2026'!F16*1.2</f>
        <v>6900</v>
      </c>
      <c r="G16" s="21">
        <f>'2026'!G16*1.03+300</f>
        <v>21971.200000000001</v>
      </c>
      <c r="H16" s="48">
        <f>'2026'!H16+10</f>
        <v>60</v>
      </c>
      <c r="I16" s="22">
        <f t="shared" si="2"/>
        <v>28931.200000000001</v>
      </c>
      <c r="J16" s="7"/>
    </row>
    <row r="17" spans="1:10" x14ac:dyDescent="0.35">
      <c r="A17" s="65" t="s">
        <v>32</v>
      </c>
      <c r="B17" s="42">
        <f>'2026'!B17*1.2</f>
        <v>5400</v>
      </c>
      <c r="C17" s="21">
        <f>'2026'!C17*1.03</f>
        <v>7888.77</v>
      </c>
      <c r="D17" s="21">
        <f t="shared" si="0"/>
        <v>1515.380000000001</v>
      </c>
      <c r="E17" s="22">
        <f t="shared" si="1"/>
        <v>14804.150000000001</v>
      </c>
      <c r="F17" s="79">
        <f>'2026'!F17*1.2</f>
        <v>3985.2</v>
      </c>
      <c r="G17" s="21">
        <f>'2026'!G17*1.03</f>
        <v>10778.95</v>
      </c>
      <c r="H17" s="48">
        <f>'2026'!H17+10</f>
        <v>40</v>
      </c>
      <c r="I17" s="22">
        <f t="shared" si="2"/>
        <v>14804.150000000001</v>
      </c>
      <c r="J17" s="7"/>
    </row>
    <row r="18" spans="1:10" x14ac:dyDescent="0.35">
      <c r="A18" s="64" t="s">
        <v>41</v>
      </c>
      <c r="B18" s="42">
        <f>'2026'!B18*1.2</f>
        <v>5677.2</v>
      </c>
      <c r="C18" s="21">
        <f>'2026'!C18*1.03</f>
        <v>7554.02</v>
      </c>
      <c r="D18" s="21">
        <f t="shared" si="0"/>
        <v>2462.84</v>
      </c>
      <c r="E18" s="22">
        <f t="shared" si="1"/>
        <v>15694.060000000001</v>
      </c>
      <c r="F18" s="79">
        <f>'2026'!F18*1.2</f>
        <v>5382</v>
      </c>
      <c r="G18" s="21">
        <f>'2026'!G18*1.03</f>
        <v>10302.06</v>
      </c>
      <c r="H18" s="48">
        <f>'2026'!H18+10</f>
        <v>10</v>
      </c>
      <c r="I18" s="22">
        <f t="shared" si="2"/>
        <v>15694.06</v>
      </c>
      <c r="J18" s="7"/>
    </row>
    <row r="19" spans="1:10" ht="15" customHeight="1" x14ac:dyDescent="0.35">
      <c r="A19" s="64" t="s">
        <v>13</v>
      </c>
      <c r="B19" s="42">
        <f>'2026'!B19*1.2</f>
        <v>3919.2</v>
      </c>
      <c r="C19" s="21">
        <f>'2026'!C19*1.03</f>
        <v>5955.46</v>
      </c>
      <c r="D19" s="21">
        <f>SUM(I19-B19-C19)</f>
        <v>376.97000000000116</v>
      </c>
      <c r="E19" s="22">
        <f t="shared" si="1"/>
        <v>10251.630000000001</v>
      </c>
      <c r="F19" s="79">
        <f>'2026'!F19*1.2</f>
        <v>2544</v>
      </c>
      <c r="G19" s="21">
        <f>'2026'!G19*1.03+200</f>
        <v>7637.63</v>
      </c>
      <c r="H19" s="48">
        <f>'2026'!H19+10</f>
        <v>70</v>
      </c>
      <c r="I19" s="22">
        <f t="shared" si="2"/>
        <v>10251.630000000001</v>
      </c>
      <c r="J19" s="7"/>
    </row>
    <row r="20" spans="1:10" x14ac:dyDescent="0.35">
      <c r="A20" s="64" t="s">
        <v>14</v>
      </c>
      <c r="B20" s="42">
        <f>'2026'!B20*1.2</f>
        <v>5863.2</v>
      </c>
      <c r="C20" s="21">
        <f>'2026'!C20*1.03</f>
        <v>7647.75</v>
      </c>
      <c r="D20" s="21">
        <f t="shared" si="0"/>
        <v>1859.7099999999991</v>
      </c>
      <c r="E20" s="22">
        <f t="shared" si="1"/>
        <v>15370.66</v>
      </c>
      <c r="F20" s="79">
        <f>'2026'!F20*1.2</f>
        <v>4626</v>
      </c>
      <c r="G20" s="21">
        <f>'2026'!G20*1.03</f>
        <v>10734.66</v>
      </c>
      <c r="H20" s="48">
        <f>'2026'!H20+10</f>
        <v>10</v>
      </c>
      <c r="I20" s="22">
        <f t="shared" si="2"/>
        <v>15370.66</v>
      </c>
      <c r="J20" s="7"/>
    </row>
    <row r="21" spans="1:10" x14ac:dyDescent="0.35">
      <c r="A21" s="64" t="s">
        <v>42</v>
      </c>
      <c r="B21" s="42">
        <f>'2026'!B21*1.2</f>
        <v>7280.4</v>
      </c>
      <c r="C21" s="21">
        <f>'2026'!C21*1.03</f>
        <v>8179.2300000000005</v>
      </c>
      <c r="D21" s="21">
        <f t="shared" si="0"/>
        <v>2731.9300000000012</v>
      </c>
      <c r="E21" s="22">
        <f t="shared" si="1"/>
        <v>18191.560000000001</v>
      </c>
      <c r="F21" s="79">
        <f>'2026'!F21*1.2</f>
        <v>7207.2</v>
      </c>
      <c r="G21" s="21">
        <f>'2026'!G21*1.03</f>
        <v>10930.36</v>
      </c>
      <c r="H21" s="48">
        <f>'2026'!H21+10</f>
        <v>54</v>
      </c>
      <c r="I21" s="22">
        <f t="shared" si="2"/>
        <v>18191.560000000001</v>
      </c>
      <c r="J21" s="7"/>
    </row>
    <row r="22" spans="1:10" ht="15" thickBot="1" x14ac:dyDescent="0.4">
      <c r="A22" s="66" t="s">
        <v>15</v>
      </c>
      <c r="B22" s="43">
        <f>'2026'!B22*1.2</f>
        <v>6880.8</v>
      </c>
      <c r="C22" s="36">
        <f>'2026'!C22*1.03</f>
        <v>7441.75</v>
      </c>
      <c r="D22" s="26">
        <f>SUM(I22-B22-C22)</f>
        <v>559.38000000000011</v>
      </c>
      <c r="E22" s="27">
        <f t="shared" si="1"/>
        <v>14881.93</v>
      </c>
      <c r="F22" s="78">
        <f>'2026'!F22*1.2</f>
        <v>3216</v>
      </c>
      <c r="G22" s="36">
        <f>'2026'!G22*1.03+500</f>
        <v>11655.93</v>
      </c>
      <c r="H22" s="26">
        <f>'2026'!H22+10</f>
        <v>10</v>
      </c>
      <c r="I22" s="27">
        <f t="shared" si="2"/>
        <v>14881.93</v>
      </c>
      <c r="J22" s="7"/>
    </row>
    <row r="23" spans="1:10" x14ac:dyDescent="0.35">
      <c r="A23" s="67" t="s">
        <v>16</v>
      </c>
      <c r="B23" s="76">
        <f>'2026'!B23*1.2</f>
        <v>16010.4</v>
      </c>
      <c r="C23" s="35">
        <f>'2026'!C23*1.03</f>
        <v>50910.840000000004</v>
      </c>
      <c r="D23" s="28">
        <f t="shared" si="0"/>
        <v>1094.8499999999913</v>
      </c>
      <c r="E23" s="29">
        <f t="shared" si="1"/>
        <v>68016.09</v>
      </c>
      <c r="F23" s="77">
        <f>'2026'!F23*1.2</f>
        <v>8160</v>
      </c>
      <c r="G23" s="35">
        <f>'2026'!G23*1.03+2000</f>
        <v>59786.090000000004</v>
      </c>
      <c r="H23" s="28">
        <f>'2026'!H23+10</f>
        <v>70</v>
      </c>
      <c r="I23" s="29">
        <f t="shared" si="2"/>
        <v>68016.09</v>
      </c>
      <c r="J23" s="7"/>
    </row>
    <row r="24" spans="1:10" x14ac:dyDescent="0.35">
      <c r="A24" s="68" t="s">
        <v>17</v>
      </c>
      <c r="B24" s="42">
        <f>'2026'!B24*1.2</f>
        <v>16261.199999999999</v>
      </c>
      <c r="C24" s="21">
        <f>'2026'!C24*1.03</f>
        <v>43779.12</v>
      </c>
      <c r="D24" s="21">
        <f t="shared" si="0"/>
        <v>4409.25</v>
      </c>
      <c r="E24" s="22">
        <f t="shared" si="1"/>
        <v>64449.57</v>
      </c>
      <c r="F24" s="79">
        <f>'2026'!F24*1.2</f>
        <v>13800</v>
      </c>
      <c r="G24" s="21">
        <f>'2026'!G24*1.03</f>
        <v>50489.57</v>
      </c>
      <c r="H24" s="48">
        <f>'2026'!H24+10</f>
        <v>160</v>
      </c>
      <c r="I24" s="22">
        <f t="shared" si="2"/>
        <v>64449.57</v>
      </c>
      <c r="J24" s="7"/>
    </row>
    <row r="25" spans="1:10" x14ac:dyDescent="0.35">
      <c r="A25" s="68" t="s">
        <v>18</v>
      </c>
      <c r="B25" s="42">
        <f>'2026'!B25*1.2</f>
        <v>14608.8</v>
      </c>
      <c r="C25" s="21">
        <f>'2026'!C25*1.03</f>
        <v>50629.65</v>
      </c>
      <c r="D25" s="21">
        <f t="shared" si="0"/>
        <v>3916.7000000000044</v>
      </c>
      <c r="E25" s="22">
        <f t="shared" si="1"/>
        <v>69155.149999999994</v>
      </c>
      <c r="F25" s="79">
        <f>'2026'!F25*1.2</f>
        <v>12735.6</v>
      </c>
      <c r="G25" s="21">
        <f>'2026'!G25*1.03</f>
        <v>56119.55</v>
      </c>
      <c r="H25" s="48">
        <f>'2026'!H25+10</f>
        <v>300</v>
      </c>
      <c r="I25" s="22">
        <f t="shared" si="2"/>
        <v>69155.150000000009</v>
      </c>
      <c r="J25" s="7"/>
    </row>
    <row r="26" spans="1:10" x14ac:dyDescent="0.35">
      <c r="A26" s="68" t="s">
        <v>19</v>
      </c>
      <c r="B26" s="42">
        <f>'2026'!B26*1.2</f>
        <v>18014.399999999998</v>
      </c>
      <c r="C26" s="21">
        <f>'2026'!C26*1.03</f>
        <v>57951.92</v>
      </c>
      <c r="D26" s="21">
        <f t="shared" si="0"/>
        <v>7564.7000000000116</v>
      </c>
      <c r="E26" s="22">
        <f t="shared" si="1"/>
        <v>83531.02</v>
      </c>
      <c r="F26" s="79">
        <f>'2026'!F26*1.2</f>
        <v>17772</v>
      </c>
      <c r="G26" s="21">
        <f>'2026'!G26*1.03</f>
        <v>65749.02</v>
      </c>
      <c r="H26" s="48">
        <f>'2026'!H26+10</f>
        <v>10</v>
      </c>
      <c r="I26" s="22">
        <f t="shared" si="2"/>
        <v>83531.02</v>
      </c>
      <c r="J26" s="7"/>
    </row>
    <row r="27" spans="1:10" x14ac:dyDescent="0.35">
      <c r="A27" s="68" t="s">
        <v>20</v>
      </c>
      <c r="B27" s="42">
        <f>'2026'!B27*1.2</f>
        <v>13870.8</v>
      </c>
      <c r="C27" s="21">
        <f>'2026'!C27*1.03</f>
        <v>41773.71</v>
      </c>
      <c r="D27" s="21">
        <f t="shared" si="0"/>
        <v>4150.1100000000079</v>
      </c>
      <c r="E27" s="22">
        <f t="shared" si="1"/>
        <v>59794.62</v>
      </c>
      <c r="F27" s="79">
        <f>'2026'!F27*1.2</f>
        <v>11847.6</v>
      </c>
      <c r="G27" s="21">
        <f>'2026'!G27*1.03</f>
        <v>47827.020000000004</v>
      </c>
      <c r="H27" s="48">
        <f>'2026'!H27+10</f>
        <v>120</v>
      </c>
      <c r="I27" s="22">
        <f t="shared" si="2"/>
        <v>59794.62</v>
      </c>
      <c r="J27" s="7"/>
    </row>
    <row r="28" spans="1:10" x14ac:dyDescent="0.35">
      <c r="A28" s="68" t="s">
        <v>21</v>
      </c>
      <c r="B28" s="42">
        <f>'2026'!B28*1.2</f>
        <v>14098.8</v>
      </c>
      <c r="C28" s="21">
        <f>'2026'!C28*1.03</f>
        <v>44419.78</v>
      </c>
      <c r="D28" s="21">
        <f t="shared" si="0"/>
        <v>1342.7100000000064</v>
      </c>
      <c r="E28" s="22">
        <f t="shared" si="1"/>
        <v>59861.290000000008</v>
      </c>
      <c r="F28" s="79">
        <f>'2026'!F28*1.2</f>
        <v>10470</v>
      </c>
      <c r="G28" s="21">
        <f>'2026'!G28*1.03</f>
        <v>49381.29</v>
      </c>
      <c r="H28" s="48">
        <f>'2026'!H28+10</f>
        <v>10</v>
      </c>
      <c r="I28" s="22">
        <f t="shared" si="2"/>
        <v>59861.29</v>
      </c>
      <c r="J28" s="7"/>
    </row>
    <row r="29" spans="1:10" x14ac:dyDescent="0.35">
      <c r="A29" s="68" t="s">
        <v>22</v>
      </c>
      <c r="B29" s="42">
        <f>'2026'!B29*1.2</f>
        <v>15588</v>
      </c>
      <c r="C29" s="21">
        <f>'2026'!C29*1.03</f>
        <v>40289.480000000003</v>
      </c>
      <c r="D29" s="21">
        <f t="shared" si="0"/>
        <v>1189.1399999999994</v>
      </c>
      <c r="E29" s="22">
        <f t="shared" si="1"/>
        <v>57066.62</v>
      </c>
      <c r="F29" s="79">
        <f>'2026'!F29*1.2</f>
        <v>8571.6</v>
      </c>
      <c r="G29" s="21">
        <f>'2026'!G29*1.03+2000</f>
        <v>48385.020000000004</v>
      </c>
      <c r="H29" s="48">
        <f>'2026'!H29+10</f>
        <v>110</v>
      </c>
      <c r="I29" s="22">
        <f t="shared" si="2"/>
        <v>57066.62</v>
      </c>
      <c r="J29" s="7"/>
    </row>
    <row r="30" spans="1:10" x14ac:dyDescent="0.35">
      <c r="A30" s="68" t="s">
        <v>23</v>
      </c>
      <c r="B30" s="42">
        <f>'2026'!B30*1.2</f>
        <v>14616</v>
      </c>
      <c r="C30" s="21">
        <f>'2026'!C30*1.03</f>
        <v>41921</v>
      </c>
      <c r="D30" s="21">
        <f t="shared" si="0"/>
        <v>2777.239999999998</v>
      </c>
      <c r="E30" s="22">
        <f t="shared" si="1"/>
        <v>59314.239999999998</v>
      </c>
      <c r="F30" s="79">
        <f>'2026'!F30*1.2</f>
        <v>12351.6</v>
      </c>
      <c r="G30" s="21">
        <f>'2026'!G30*1.03</f>
        <v>46852.639999999999</v>
      </c>
      <c r="H30" s="48">
        <f>'2026'!H30+10</f>
        <v>110</v>
      </c>
      <c r="I30" s="22">
        <f t="shared" si="2"/>
        <v>59314.239999999998</v>
      </c>
      <c r="J30" s="7"/>
    </row>
    <row r="31" spans="1:10" x14ac:dyDescent="0.35">
      <c r="A31" s="68" t="s">
        <v>24</v>
      </c>
      <c r="B31" s="42">
        <f>'2026'!B31*1.2</f>
        <v>16747.2</v>
      </c>
      <c r="C31" s="21">
        <f>'2026'!C31*1.03</f>
        <v>47146.19</v>
      </c>
      <c r="D31" s="21">
        <f t="shared" si="0"/>
        <v>1633.4199999999983</v>
      </c>
      <c r="E31" s="22">
        <f t="shared" si="1"/>
        <v>65526.81</v>
      </c>
      <c r="F31" s="79">
        <f>'2026'!F31*1.2</f>
        <v>12271.199999999999</v>
      </c>
      <c r="G31" s="21">
        <f>'2026'!G31*1.03</f>
        <v>53031.61</v>
      </c>
      <c r="H31" s="48">
        <f>'2026'!H31+10</f>
        <v>224</v>
      </c>
      <c r="I31" s="22">
        <f t="shared" si="2"/>
        <v>65526.81</v>
      </c>
      <c r="J31" s="7"/>
    </row>
    <row r="32" spans="1:10" x14ac:dyDescent="0.35">
      <c r="A32" s="68" t="s">
        <v>25</v>
      </c>
      <c r="B32" s="42">
        <f>'2026'!B32*1.2</f>
        <v>15151.199999999999</v>
      </c>
      <c r="C32" s="21">
        <f>'2026'!C32*1.03</f>
        <v>45056.32</v>
      </c>
      <c r="D32" s="21">
        <f t="shared" si="0"/>
        <v>1491.2200000000012</v>
      </c>
      <c r="E32" s="22">
        <f t="shared" si="1"/>
        <v>61698.74</v>
      </c>
      <c r="F32" s="79">
        <f>'2026'!F32*1.2</f>
        <v>10645.199999999999</v>
      </c>
      <c r="G32" s="21">
        <f>'2026'!G32*1.03</f>
        <v>51003.54</v>
      </c>
      <c r="H32" s="48">
        <f>'2026'!H32+10</f>
        <v>50</v>
      </c>
      <c r="I32" s="22">
        <f t="shared" si="2"/>
        <v>61698.74</v>
      </c>
      <c r="J32" s="7"/>
    </row>
    <row r="33" spans="1:10" x14ac:dyDescent="0.35">
      <c r="A33" s="68" t="s">
        <v>26</v>
      </c>
      <c r="B33" s="42">
        <f>'2026'!B33*1.2</f>
        <v>11791.199999999999</v>
      </c>
      <c r="C33" s="21">
        <f>'2026'!C33*1.03</f>
        <v>39928.980000000003</v>
      </c>
      <c r="D33" s="21">
        <f t="shared" si="0"/>
        <v>4260.2300000000032</v>
      </c>
      <c r="E33" s="22">
        <f t="shared" si="1"/>
        <v>55980.41</v>
      </c>
      <c r="F33" s="79">
        <f>'2026'!F33*1.2</f>
        <v>11450.4</v>
      </c>
      <c r="G33" s="21">
        <f>'2026'!G33*1.03</f>
        <v>44359.01</v>
      </c>
      <c r="H33" s="48">
        <f>'2026'!H33+10</f>
        <v>171</v>
      </c>
      <c r="I33" s="22">
        <f t="shared" si="2"/>
        <v>55980.41</v>
      </c>
      <c r="J33" s="7"/>
    </row>
    <row r="34" spans="1:10" x14ac:dyDescent="0.35">
      <c r="A34" s="69" t="s">
        <v>44</v>
      </c>
      <c r="B34" s="42">
        <f>'2026'!B34*1.2</f>
        <v>9700.7999999999993</v>
      </c>
      <c r="C34" s="21">
        <f>'2026'!C34*1.03</f>
        <v>12318.800000000001</v>
      </c>
      <c r="D34" s="21">
        <f t="shared" si="0"/>
        <v>2790.5599999999995</v>
      </c>
      <c r="E34" s="22">
        <f t="shared" si="1"/>
        <v>24810.159999999996</v>
      </c>
      <c r="F34" s="79">
        <f>'2026'!F34*1.2</f>
        <v>8334</v>
      </c>
      <c r="G34" s="21">
        <f>'2026'!G34*1.03</f>
        <v>16451.16</v>
      </c>
      <c r="H34" s="48">
        <f>'2026'!H34+10</f>
        <v>25</v>
      </c>
      <c r="I34" s="22">
        <f t="shared" si="2"/>
        <v>24810.16</v>
      </c>
      <c r="J34" s="7"/>
    </row>
    <row r="35" spans="1:10" x14ac:dyDescent="0.35">
      <c r="A35" s="68" t="s">
        <v>27</v>
      </c>
      <c r="B35" s="42">
        <f>'2026'!B35*1.2</f>
        <v>15986.4</v>
      </c>
      <c r="C35" s="21">
        <f>'2026'!C35*1.03</f>
        <v>44896.67</v>
      </c>
      <c r="D35" s="21">
        <f>SUM(I35-B35-C35)+500</f>
        <v>1357.9000000000015</v>
      </c>
      <c r="E35" s="22">
        <f t="shared" si="1"/>
        <v>62240.97</v>
      </c>
      <c r="F35" s="79">
        <f>'2026'!F35*1.2</f>
        <v>10149.6</v>
      </c>
      <c r="G35" s="21">
        <f>'2026'!G35*1.03</f>
        <v>51581.37</v>
      </c>
      <c r="H35" s="48">
        <f>'2026'!H35+10</f>
        <v>10</v>
      </c>
      <c r="I35" s="22">
        <f t="shared" si="2"/>
        <v>61740.97</v>
      </c>
      <c r="J35" s="7"/>
    </row>
    <row r="36" spans="1:10" ht="15" thickBot="1" x14ac:dyDescent="0.4">
      <c r="A36" s="69" t="s">
        <v>28</v>
      </c>
      <c r="B36" s="76">
        <f>'2026'!B36*1.2</f>
        <v>16401.599999999999</v>
      </c>
      <c r="C36" s="37">
        <f>'2026'!C36*1.03</f>
        <v>49002.25</v>
      </c>
      <c r="D36" s="38">
        <f>SUM(I36-B36-C36)</f>
        <v>820.78000000000611</v>
      </c>
      <c r="E36" s="39">
        <f t="shared" si="1"/>
        <v>66224.63</v>
      </c>
      <c r="F36" s="78">
        <f>'2026'!F36*1.2</f>
        <v>9831.6</v>
      </c>
      <c r="G36" s="37">
        <f>'2026'!G36*1.03+1000</f>
        <v>56003.03</v>
      </c>
      <c r="H36" s="38">
        <f>'2026'!H36+10</f>
        <v>390</v>
      </c>
      <c r="I36" s="27">
        <f t="shared" si="2"/>
        <v>66224.63</v>
      </c>
      <c r="J36" s="7"/>
    </row>
    <row r="37" spans="1:10" ht="15" thickBot="1" x14ac:dyDescent="0.4">
      <c r="A37" s="72" t="s">
        <v>43</v>
      </c>
      <c r="B37" s="41">
        <f>'2026'!B37*1.2</f>
        <v>107458.8</v>
      </c>
      <c r="C37" s="18">
        <f>'2026'!C37*1.03</f>
        <v>0</v>
      </c>
      <c r="D37" s="19">
        <f t="shared" si="0"/>
        <v>62545.069999999992</v>
      </c>
      <c r="E37" s="20">
        <f t="shared" si="1"/>
        <v>170003.87</v>
      </c>
      <c r="F37" s="74">
        <f>'2026'!F37*1.2</f>
        <v>106808.4</v>
      </c>
      <c r="G37" s="18">
        <f>'2026'!G37*1.03</f>
        <v>56185.47</v>
      </c>
      <c r="H37" s="19">
        <f>'2026'!H37+10</f>
        <v>7010</v>
      </c>
      <c r="I37" s="20">
        <f t="shared" si="2"/>
        <v>170003.87</v>
      </c>
      <c r="J37" s="7"/>
    </row>
    <row r="38" spans="1:10" ht="15" thickBot="1" x14ac:dyDescent="0.4">
      <c r="A38" s="72" t="s">
        <v>37</v>
      </c>
      <c r="B38" s="40">
        <v>8000</v>
      </c>
      <c r="C38" s="23">
        <v>0</v>
      </c>
      <c r="D38" s="23">
        <f t="shared" si="0"/>
        <v>19510</v>
      </c>
      <c r="E38" s="30">
        <f t="shared" si="1"/>
        <v>27510</v>
      </c>
      <c r="F38" s="80">
        <v>20000</v>
      </c>
      <c r="G38" s="23">
        <v>7000</v>
      </c>
      <c r="H38" s="73">
        <f>'2026'!H38+10</f>
        <v>510</v>
      </c>
      <c r="I38" s="30">
        <f t="shared" si="2"/>
        <v>27510</v>
      </c>
      <c r="J38" s="7"/>
    </row>
    <row r="39" spans="1:10" ht="15.5" x14ac:dyDescent="0.3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5.5" x14ac:dyDescent="0.3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5.5" x14ac:dyDescent="0.3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5.5" x14ac:dyDescent="0.3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5.5" x14ac:dyDescent="0.35">
      <c r="A43" s="24"/>
      <c r="B43" s="24"/>
      <c r="C43" s="24"/>
      <c r="D43" s="24"/>
      <c r="E43" s="31"/>
      <c r="F43" s="24"/>
      <c r="G43" s="24"/>
      <c r="H43" s="24"/>
      <c r="I43" s="31"/>
      <c r="J43" s="24"/>
    </row>
    <row r="44" spans="1:10" ht="15.5" x14ac:dyDescent="0.3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5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5.5" x14ac:dyDescent="0.35">
      <c r="A46" s="24"/>
      <c r="B46" s="24"/>
      <c r="C46" s="24"/>
      <c r="D46" s="24"/>
      <c r="E46" s="24"/>
      <c r="F46" s="24"/>
      <c r="G46" s="24"/>
      <c r="H46" s="24"/>
      <c r="I46" s="24"/>
      <c r="J46" s="24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workbookViewId="0">
      <selection sqref="A1:I1"/>
    </sheetView>
  </sheetViews>
  <sheetFormatPr defaultColWidth="9.08984375" defaultRowHeight="14.5" x14ac:dyDescent="0.35"/>
  <cols>
    <col min="1" max="1" width="73" style="3" customWidth="1"/>
    <col min="2" max="9" width="15.6328125" style="3" customWidth="1"/>
    <col min="10" max="16384" width="9.08984375" style="3"/>
  </cols>
  <sheetData>
    <row r="1" spans="1:10" ht="30" customHeight="1" thickBot="1" x14ac:dyDescent="0.4">
      <c r="A1" s="88" t="s">
        <v>48</v>
      </c>
      <c r="B1" s="89"/>
      <c r="C1" s="89"/>
      <c r="D1" s="89"/>
      <c r="E1" s="89"/>
      <c r="F1" s="89"/>
      <c r="G1" s="89"/>
      <c r="H1" s="89"/>
      <c r="I1" s="90"/>
      <c r="J1" s="1"/>
    </row>
    <row r="2" spans="1:10" ht="30" customHeight="1" thickBot="1" x14ac:dyDescent="0.4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4"/>
    </row>
    <row r="3" spans="1:10" x14ac:dyDescent="0.35">
      <c r="A3" s="63" t="s">
        <v>5</v>
      </c>
      <c r="B3" s="75">
        <f>'2026'!B3*1.4</f>
        <v>11589.199999999999</v>
      </c>
      <c r="C3" s="35">
        <f>'2027'!C3*1.03</f>
        <v>12274.613000000001</v>
      </c>
      <c r="D3" s="28">
        <f>SUM(I3-B3-C3)</f>
        <v>3488.1707000000006</v>
      </c>
      <c r="E3" s="29">
        <f>SUM(B3:D3)</f>
        <v>27351.983700000004</v>
      </c>
      <c r="F3" s="81">
        <f>'2026'!F3*1.4</f>
        <v>11522</v>
      </c>
      <c r="G3" s="35">
        <f>'2027'!G3*1.03</f>
        <v>15799.983700000001</v>
      </c>
      <c r="H3" s="28">
        <f>'2027'!H3</f>
        <v>30</v>
      </c>
      <c r="I3" s="82">
        <f>SUM(F3:H3)</f>
        <v>27351.983700000001</v>
      </c>
      <c r="J3" s="1"/>
    </row>
    <row r="4" spans="1:10" x14ac:dyDescent="0.35">
      <c r="A4" s="64" t="s">
        <v>6</v>
      </c>
      <c r="B4" s="42">
        <f>'2026'!B4*1.4</f>
        <v>11970</v>
      </c>
      <c r="C4" s="21">
        <f>'2027'!C4*1.03</f>
        <v>12791.271300000002</v>
      </c>
      <c r="D4" s="21">
        <f t="shared" ref="D4:D38" si="0">SUM(I4-B4-C4)</f>
        <v>1171.6563000000006</v>
      </c>
      <c r="E4" s="22">
        <f t="shared" ref="E4:E38" si="1">SUM(B4:D4)</f>
        <v>25932.927600000003</v>
      </c>
      <c r="F4" s="21">
        <f>'2026'!F4*1.4</f>
        <v>8112.9999999999991</v>
      </c>
      <c r="G4" s="21">
        <f>'2027'!G4*1.03</f>
        <v>17784.927600000003</v>
      </c>
      <c r="H4" s="48">
        <f>'2027'!H4</f>
        <v>35</v>
      </c>
      <c r="I4" s="83">
        <f>SUM(F4:H4)</f>
        <v>25932.927600000003</v>
      </c>
      <c r="J4" s="1"/>
    </row>
    <row r="5" spans="1:10" x14ac:dyDescent="0.35">
      <c r="A5" s="64" t="s">
        <v>29</v>
      </c>
      <c r="B5" s="42">
        <f>'2026'!B5*1.4</f>
        <v>7102.2</v>
      </c>
      <c r="C5" s="21">
        <f>'2027'!C5*1.03</f>
        <v>7898.4005000000006</v>
      </c>
      <c r="D5" s="21">
        <f t="shared" si="0"/>
        <v>1026.3767999999973</v>
      </c>
      <c r="E5" s="22">
        <f t="shared" si="1"/>
        <v>16026.977299999999</v>
      </c>
      <c r="F5" s="21">
        <f>'2026'!F5*1.4</f>
        <v>4986.7999999999993</v>
      </c>
      <c r="G5" s="21">
        <f>'2027'!G5*1.03</f>
        <v>11030.177299999999</v>
      </c>
      <c r="H5" s="48">
        <f>'2027'!H5</f>
        <v>10</v>
      </c>
      <c r="I5" s="83">
        <f t="shared" ref="I5:I38" si="2">SUM(F5:H5)</f>
        <v>16026.977299999999</v>
      </c>
      <c r="J5" s="1"/>
    </row>
    <row r="6" spans="1:10" x14ac:dyDescent="0.35">
      <c r="A6" s="64" t="s">
        <v>38</v>
      </c>
      <c r="B6" s="42">
        <f>'2026'!B6*1.4</f>
        <v>13489</v>
      </c>
      <c r="C6" s="21">
        <f>'2027'!C6*1.03</f>
        <v>16108.705600000001</v>
      </c>
      <c r="D6" s="21">
        <f t="shared" si="0"/>
        <v>525.7983000000022</v>
      </c>
      <c r="E6" s="22">
        <f t="shared" si="1"/>
        <v>30123.503900000003</v>
      </c>
      <c r="F6" s="21">
        <f>'2026'!F6*1.4</f>
        <v>8568</v>
      </c>
      <c r="G6" s="21">
        <f>'2027'!G6*1.03</f>
        <v>21505.503900000003</v>
      </c>
      <c r="H6" s="48">
        <f>'2027'!H6</f>
        <v>50</v>
      </c>
      <c r="I6" s="83">
        <f t="shared" si="2"/>
        <v>30123.503900000003</v>
      </c>
      <c r="J6" s="1"/>
    </row>
    <row r="7" spans="1:10" x14ac:dyDescent="0.35">
      <c r="A7" s="64" t="s">
        <v>7</v>
      </c>
      <c r="B7" s="42">
        <f>'2026'!B7*1.4</f>
        <v>20396.599999999999</v>
      </c>
      <c r="C7" s="21">
        <f>'2027'!C7*1.03</f>
        <v>21027.038000000004</v>
      </c>
      <c r="D7" s="21">
        <f t="shared" si="0"/>
        <v>2543.7577999999958</v>
      </c>
      <c r="E7" s="22">
        <f t="shared" si="1"/>
        <v>43967.395799999998</v>
      </c>
      <c r="F7" s="21">
        <f>'2026'!F7*1.4</f>
        <v>14243.599999999999</v>
      </c>
      <c r="G7" s="21">
        <f>'2027'!G7*1.03</f>
        <v>29558.7958</v>
      </c>
      <c r="H7" s="48">
        <f>'2027'!H7</f>
        <v>165</v>
      </c>
      <c r="I7" s="83">
        <f t="shared" si="2"/>
        <v>43967.395799999998</v>
      </c>
      <c r="J7" s="1"/>
    </row>
    <row r="8" spans="1:10" x14ac:dyDescent="0.35">
      <c r="A8" s="64" t="s">
        <v>30</v>
      </c>
      <c r="B8" s="42">
        <f>'2026'!B8*1.4</f>
        <v>8474.1999999999989</v>
      </c>
      <c r="C8" s="21">
        <f>'2027'!C8*1.03</f>
        <v>9106.7656000000006</v>
      </c>
      <c r="D8" s="21">
        <f t="shared" si="0"/>
        <v>1737.6595000000016</v>
      </c>
      <c r="E8" s="22">
        <f t="shared" si="1"/>
        <v>19318.625100000001</v>
      </c>
      <c r="F8" s="21">
        <f>'2026'!F8*1.4</f>
        <v>6006</v>
      </c>
      <c r="G8" s="21">
        <f>'2027'!G8*1.03</f>
        <v>13302.625100000001</v>
      </c>
      <c r="H8" s="48">
        <f>'2027'!H8</f>
        <v>10</v>
      </c>
      <c r="I8" s="83">
        <f t="shared" si="2"/>
        <v>19318.625100000001</v>
      </c>
      <c r="J8" s="1"/>
    </row>
    <row r="9" spans="1:10" x14ac:dyDescent="0.35">
      <c r="A9" s="64" t="s">
        <v>8</v>
      </c>
      <c r="B9" s="42">
        <f>'2026'!B9*1.4</f>
        <v>7218.4</v>
      </c>
      <c r="C9" s="21">
        <f>'2027'!C9*1.03</f>
        <v>8184.8434999999999</v>
      </c>
      <c r="D9" s="21">
        <f t="shared" si="0"/>
        <v>1292.5171999999993</v>
      </c>
      <c r="E9" s="22">
        <f t="shared" si="1"/>
        <v>16695.760699999999</v>
      </c>
      <c r="F9" s="21">
        <f>'2026'!F9*1.4</f>
        <v>5628</v>
      </c>
      <c r="G9" s="21">
        <f>'2027'!G9*1.03</f>
        <v>11057.760700000001</v>
      </c>
      <c r="H9" s="48">
        <f>'2027'!H9</f>
        <v>10</v>
      </c>
      <c r="I9" s="83">
        <f t="shared" si="2"/>
        <v>16695.760699999999</v>
      </c>
      <c r="J9" s="1"/>
    </row>
    <row r="10" spans="1:10" x14ac:dyDescent="0.35">
      <c r="A10" s="64" t="s">
        <v>39</v>
      </c>
      <c r="B10" s="42">
        <f>'2026'!B10*1.4</f>
        <v>11894.4</v>
      </c>
      <c r="C10" s="21">
        <f>'2027'!C10*1.03</f>
        <v>11025.933700000001</v>
      </c>
      <c r="D10" s="21">
        <f t="shared" si="0"/>
        <v>3194.310099999997</v>
      </c>
      <c r="E10" s="22">
        <f t="shared" si="1"/>
        <v>26114.643799999998</v>
      </c>
      <c r="F10" s="21">
        <f>'2026'!F10*1.4</f>
        <v>10575.599999999999</v>
      </c>
      <c r="G10" s="21">
        <f>'2027'!G10*1.03</f>
        <v>15470.043800000001</v>
      </c>
      <c r="H10" s="48">
        <f>'2027'!H10</f>
        <v>69</v>
      </c>
      <c r="I10" s="83">
        <f t="shared" si="2"/>
        <v>26114.643799999998</v>
      </c>
      <c r="J10" s="1"/>
    </row>
    <row r="11" spans="1:10" x14ac:dyDescent="0.35">
      <c r="A11" s="64" t="s">
        <v>9</v>
      </c>
      <c r="B11" s="42">
        <f>'2026'!B11*1.4</f>
        <v>7659.4</v>
      </c>
      <c r="C11" s="21">
        <f>'2027'!C11*1.03</f>
        <v>12439.0525</v>
      </c>
      <c r="D11" s="21">
        <f t="shared" si="0"/>
        <v>169.46120000000155</v>
      </c>
      <c r="E11" s="22">
        <f t="shared" si="1"/>
        <v>20267.913700000001</v>
      </c>
      <c r="F11" s="21">
        <f>'2026'!F11*1.4</f>
        <v>4407.2</v>
      </c>
      <c r="G11" s="21">
        <f>'2027'!G11*1.03</f>
        <v>15790.713700000002</v>
      </c>
      <c r="H11" s="48">
        <f>'2027'!H11</f>
        <v>70</v>
      </c>
      <c r="I11" s="83">
        <f t="shared" si="2"/>
        <v>20267.913700000001</v>
      </c>
      <c r="J11" s="1"/>
    </row>
    <row r="12" spans="1:10" x14ac:dyDescent="0.35">
      <c r="A12" s="64" t="s">
        <v>10</v>
      </c>
      <c r="B12" s="42">
        <f>'2026'!B12*1.4</f>
        <v>13648.599999999999</v>
      </c>
      <c r="C12" s="21">
        <f>'2027'!C12*1.03</f>
        <v>14494.015800000001</v>
      </c>
      <c r="D12" s="21">
        <f t="shared" si="0"/>
        <v>3273.9881000000023</v>
      </c>
      <c r="E12" s="22">
        <f t="shared" si="1"/>
        <v>31416.603900000002</v>
      </c>
      <c r="F12" s="21">
        <f>'2026'!F12*1.4</f>
        <v>10962</v>
      </c>
      <c r="G12" s="21">
        <f>'2027'!G12*1.03</f>
        <v>20444.603900000002</v>
      </c>
      <c r="H12" s="48">
        <f>'2027'!H12</f>
        <v>10</v>
      </c>
      <c r="I12" s="83">
        <f t="shared" si="2"/>
        <v>31416.603900000002</v>
      </c>
      <c r="J12" s="1"/>
    </row>
    <row r="13" spans="1:10" x14ac:dyDescent="0.35">
      <c r="A13" s="64" t="s">
        <v>31</v>
      </c>
      <c r="B13" s="42">
        <f>'2026'!B13*1.4</f>
        <v>12093.199999999999</v>
      </c>
      <c r="C13" s="21">
        <f>'2027'!C13*1.03</f>
        <v>14106.7873</v>
      </c>
      <c r="D13" s="21">
        <f>SUM(I13-B13-C13)</f>
        <v>2164.376000000002</v>
      </c>
      <c r="E13" s="22">
        <f t="shared" si="1"/>
        <v>28364.363300000005</v>
      </c>
      <c r="F13" s="21">
        <f>'2026'!F13*1.4</f>
        <v>6650</v>
      </c>
      <c r="G13" s="21">
        <f>'2027'!G13*1.03+2000</f>
        <v>21544.363300000001</v>
      </c>
      <c r="H13" s="48">
        <f>'2027'!H13</f>
        <v>170</v>
      </c>
      <c r="I13" s="83">
        <f t="shared" si="2"/>
        <v>28364.363300000001</v>
      </c>
      <c r="J13" s="1"/>
    </row>
    <row r="14" spans="1:10" x14ac:dyDescent="0.35">
      <c r="A14" s="64" t="s">
        <v>11</v>
      </c>
      <c r="B14" s="42">
        <f>'2026'!B14*1.4</f>
        <v>12021.8</v>
      </c>
      <c r="C14" s="21">
        <f>'2027'!C14*1.03</f>
        <v>13811.857099999999</v>
      </c>
      <c r="D14" s="21">
        <f t="shared" si="0"/>
        <v>3650.6717000000008</v>
      </c>
      <c r="E14" s="22">
        <f t="shared" si="1"/>
        <v>29484.328799999996</v>
      </c>
      <c r="F14" s="21">
        <f>'2026'!F14*1.4</f>
        <v>10122</v>
      </c>
      <c r="G14" s="21">
        <f>'2027'!G14*1.03</f>
        <v>19342.328799999999</v>
      </c>
      <c r="H14" s="48">
        <f>'2027'!H14</f>
        <v>20</v>
      </c>
      <c r="I14" s="83">
        <f t="shared" si="2"/>
        <v>29484.328799999999</v>
      </c>
      <c r="J14" s="1"/>
    </row>
    <row r="15" spans="1:10" x14ac:dyDescent="0.35">
      <c r="A15" s="64" t="s">
        <v>40</v>
      </c>
      <c r="B15" s="42">
        <f>'2026'!B15*1.4</f>
        <v>7366.7999999999993</v>
      </c>
      <c r="C15" s="21">
        <f>'2027'!C15*1.03</f>
        <v>8530.696899999999</v>
      </c>
      <c r="D15" s="21">
        <f t="shared" si="0"/>
        <v>1726.9678000000022</v>
      </c>
      <c r="E15" s="22">
        <f t="shared" si="1"/>
        <v>17624.4647</v>
      </c>
      <c r="F15" s="21">
        <f>'2026'!F15*1.4</f>
        <v>5962.5999999999995</v>
      </c>
      <c r="G15" s="21">
        <f>'2027'!G15*1.03</f>
        <v>11651.8647</v>
      </c>
      <c r="H15" s="48">
        <f>'2027'!H15</f>
        <v>10</v>
      </c>
      <c r="I15" s="83">
        <f t="shared" si="2"/>
        <v>17624.4647</v>
      </c>
      <c r="J15" s="1"/>
    </row>
    <row r="16" spans="1:10" x14ac:dyDescent="0.35">
      <c r="A16" s="64" t="s">
        <v>12</v>
      </c>
      <c r="B16" s="42">
        <f>'2026'!B16*1.4</f>
        <v>14238</v>
      </c>
      <c r="C16" s="21">
        <f>'2027'!C16*1.03</f>
        <v>16034.4426</v>
      </c>
      <c r="D16" s="21">
        <f t="shared" si="0"/>
        <v>467.89340000000266</v>
      </c>
      <c r="E16" s="22">
        <f t="shared" si="1"/>
        <v>30740.336000000003</v>
      </c>
      <c r="F16" s="21">
        <f>'2026'!F16*1.4</f>
        <v>8049.9999999999991</v>
      </c>
      <c r="G16" s="21">
        <f>'2027'!G16*1.03</f>
        <v>22630.336000000003</v>
      </c>
      <c r="H16" s="48">
        <f>'2027'!H16</f>
        <v>60</v>
      </c>
      <c r="I16" s="83">
        <f t="shared" si="2"/>
        <v>30740.336000000003</v>
      </c>
      <c r="J16" s="1"/>
    </row>
    <row r="17" spans="1:10" x14ac:dyDescent="0.35">
      <c r="A17" s="65" t="s">
        <v>32</v>
      </c>
      <c r="B17" s="42">
        <f>'2026'!B17*1.4</f>
        <v>6300</v>
      </c>
      <c r="C17" s="21">
        <f>'2027'!C17*1.03</f>
        <v>8125.4331000000011</v>
      </c>
      <c r="D17" s="21">
        <f t="shared" si="0"/>
        <v>1366.2853999999998</v>
      </c>
      <c r="E17" s="22">
        <f t="shared" si="1"/>
        <v>15791.718500000003</v>
      </c>
      <c r="F17" s="21">
        <f>'2026'!F17*1.4</f>
        <v>4649.3999999999996</v>
      </c>
      <c r="G17" s="21">
        <f>'2027'!G17*1.03</f>
        <v>11102.318500000001</v>
      </c>
      <c r="H17" s="48">
        <f>'2027'!H17</f>
        <v>40</v>
      </c>
      <c r="I17" s="83">
        <f t="shared" si="2"/>
        <v>15791.718500000001</v>
      </c>
      <c r="J17" s="1"/>
    </row>
    <row r="18" spans="1:10" x14ac:dyDescent="0.35">
      <c r="A18" s="64" t="s">
        <v>41</v>
      </c>
      <c r="B18" s="42">
        <f>'2026'!B18*1.4</f>
        <v>6623.4</v>
      </c>
      <c r="C18" s="21">
        <f>'2027'!C18*1.03</f>
        <v>7780.6406000000006</v>
      </c>
      <c r="D18" s="21">
        <f t="shared" si="0"/>
        <v>2496.0812000000005</v>
      </c>
      <c r="E18" s="22">
        <f t="shared" si="1"/>
        <v>16900.121800000001</v>
      </c>
      <c r="F18" s="21">
        <f>'2026'!F18*1.4</f>
        <v>6279</v>
      </c>
      <c r="G18" s="21">
        <f>'2027'!G18*1.03</f>
        <v>10611.121799999999</v>
      </c>
      <c r="H18" s="48">
        <f>'2027'!H18</f>
        <v>10</v>
      </c>
      <c r="I18" s="83">
        <f t="shared" si="2"/>
        <v>16900.121800000001</v>
      </c>
      <c r="J18" s="1"/>
    </row>
    <row r="19" spans="1:10" ht="15" customHeight="1" x14ac:dyDescent="0.35">
      <c r="A19" s="64" t="s">
        <v>13</v>
      </c>
      <c r="B19" s="42">
        <f>'2026'!B19*1.4</f>
        <v>4572.3999999999996</v>
      </c>
      <c r="C19" s="21">
        <f>'2027'!C19*1.03</f>
        <v>6134.1238000000003</v>
      </c>
      <c r="D19" s="21">
        <f t="shared" si="0"/>
        <v>198.23510000000078</v>
      </c>
      <c r="E19" s="22">
        <f t="shared" si="1"/>
        <v>10904.758900000001</v>
      </c>
      <c r="F19" s="21">
        <f>'2026'!F19*1.4</f>
        <v>2968</v>
      </c>
      <c r="G19" s="21">
        <f>'2027'!G19*1.03</f>
        <v>7866.7589000000007</v>
      </c>
      <c r="H19" s="48">
        <f>'2027'!H19</f>
        <v>70</v>
      </c>
      <c r="I19" s="83">
        <f t="shared" si="2"/>
        <v>10904.758900000001</v>
      </c>
      <c r="J19" s="1"/>
    </row>
    <row r="20" spans="1:10" x14ac:dyDescent="0.35">
      <c r="A20" s="64" t="s">
        <v>14</v>
      </c>
      <c r="B20" s="42">
        <f>'2026'!B20*1.4</f>
        <v>6840.4</v>
      </c>
      <c r="C20" s="21">
        <f>'2027'!C20*1.03</f>
        <v>7877.1824999999999</v>
      </c>
      <c r="D20" s="21">
        <f t="shared" si="0"/>
        <v>1746.1173000000026</v>
      </c>
      <c r="E20" s="22">
        <f t="shared" si="1"/>
        <v>16463.699800000002</v>
      </c>
      <c r="F20" s="21">
        <f>'2026'!F20*1.4</f>
        <v>5397</v>
      </c>
      <c r="G20" s="21">
        <f>'2027'!G20*1.03</f>
        <v>11056.6998</v>
      </c>
      <c r="H20" s="48">
        <f>'2027'!H20</f>
        <v>10</v>
      </c>
      <c r="I20" s="83">
        <f t="shared" si="2"/>
        <v>16463.699800000002</v>
      </c>
      <c r="J20" s="1"/>
    </row>
    <row r="21" spans="1:10" x14ac:dyDescent="0.35">
      <c r="A21" s="64" t="s">
        <v>42</v>
      </c>
      <c r="B21" s="42">
        <f>'2026'!B21*1.4</f>
        <v>8493.7999999999993</v>
      </c>
      <c r="C21" s="21">
        <f>'2027'!C21*1.03</f>
        <v>8424.6069000000007</v>
      </c>
      <c r="D21" s="21">
        <f t="shared" si="0"/>
        <v>2802.2638999999999</v>
      </c>
      <c r="E21" s="22">
        <f t="shared" si="1"/>
        <v>19720.6708</v>
      </c>
      <c r="F21" s="21">
        <f>'2026'!F21*1.4</f>
        <v>8408.4</v>
      </c>
      <c r="G21" s="21">
        <f>'2027'!G21*1.03</f>
        <v>11258.2708</v>
      </c>
      <c r="H21" s="48">
        <f>'2027'!H21</f>
        <v>54</v>
      </c>
      <c r="I21" s="83">
        <f t="shared" si="2"/>
        <v>19720.6708</v>
      </c>
      <c r="J21" s="1"/>
    </row>
    <row r="22" spans="1:10" ht="15" thickBot="1" x14ac:dyDescent="0.4">
      <c r="A22" s="66" t="s">
        <v>15</v>
      </c>
      <c r="B22" s="87">
        <f>'2026'!B22*1.4</f>
        <v>8027.5999999999995</v>
      </c>
      <c r="C22" s="36">
        <f>'2027'!C22*1.03</f>
        <v>7665.0025000000005</v>
      </c>
      <c r="D22" s="26">
        <f t="shared" si="0"/>
        <v>75.005400000000918</v>
      </c>
      <c r="E22" s="27">
        <f t="shared" si="1"/>
        <v>15767.607900000003</v>
      </c>
      <c r="F22" s="86">
        <f>'2026'!F22*1.4</f>
        <v>3751.9999999999995</v>
      </c>
      <c r="G22" s="36">
        <f>'2027'!G22*1.03</f>
        <v>12005.607900000001</v>
      </c>
      <c r="H22" s="26">
        <f>'2027'!H22</f>
        <v>10</v>
      </c>
      <c r="I22" s="84">
        <f t="shared" si="2"/>
        <v>15767.607900000001</v>
      </c>
      <c r="J22" s="1"/>
    </row>
    <row r="23" spans="1:10" x14ac:dyDescent="0.35">
      <c r="A23" s="67" t="s">
        <v>16</v>
      </c>
      <c r="B23" s="75">
        <f>'2026'!B23*1.4</f>
        <v>18678.8</v>
      </c>
      <c r="C23" s="35">
        <f>'2027'!C23*1.03</f>
        <v>52438.165200000003</v>
      </c>
      <c r="D23" s="28">
        <f t="shared" si="0"/>
        <v>52.707499999989523</v>
      </c>
      <c r="E23" s="29">
        <f t="shared" si="1"/>
        <v>71169.672699999996</v>
      </c>
      <c r="F23" s="81">
        <f>'2026'!F23*1.4</f>
        <v>9520</v>
      </c>
      <c r="G23" s="35">
        <f>'2027'!G23*1.03</f>
        <v>61579.672700000003</v>
      </c>
      <c r="H23" s="28">
        <f>'2027'!H23</f>
        <v>70</v>
      </c>
      <c r="I23" s="82">
        <f t="shared" si="2"/>
        <v>71169.672699999996</v>
      </c>
      <c r="J23" s="1"/>
    </row>
    <row r="24" spans="1:10" x14ac:dyDescent="0.35">
      <c r="A24" s="68" t="s">
        <v>17</v>
      </c>
      <c r="B24" s="42">
        <f>'2026'!B24*1.4</f>
        <v>18971.399999999998</v>
      </c>
      <c r="C24" s="21">
        <f>'2027'!C24*1.03</f>
        <v>45092.493600000002</v>
      </c>
      <c r="D24" s="21">
        <f t="shared" si="0"/>
        <v>4200.3635000000068</v>
      </c>
      <c r="E24" s="22">
        <f t="shared" si="1"/>
        <v>68264.257100000003</v>
      </c>
      <c r="F24" s="21">
        <f>'2026'!F24*1.4</f>
        <v>16099.999999999998</v>
      </c>
      <c r="G24" s="21">
        <f>'2027'!G24*1.03</f>
        <v>52004.257100000003</v>
      </c>
      <c r="H24" s="48">
        <f>'2027'!H24</f>
        <v>160</v>
      </c>
      <c r="I24" s="83">
        <f t="shared" si="2"/>
        <v>68264.257100000003</v>
      </c>
      <c r="J24" s="1"/>
    </row>
    <row r="25" spans="1:10" x14ac:dyDescent="0.35">
      <c r="A25" s="68" t="s">
        <v>18</v>
      </c>
      <c r="B25" s="42">
        <f>'2026'!B25*1.4</f>
        <v>17043.599999999999</v>
      </c>
      <c r="C25" s="21">
        <f>'2027'!C25*1.03</f>
        <v>52148.539500000006</v>
      </c>
      <c r="D25" s="21">
        <f t="shared" si="0"/>
        <v>3769.1970000000001</v>
      </c>
      <c r="E25" s="22">
        <f t="shared" si="1"/>
        <v>72961.336500000005</v>
      </c>
      <c r="F25" s="21">
        <f>'2026'!F25*1.4</f>
        <v>14858.199999999999</v>
      </c>
      <c r="G25" s="21">
        <f>'2027'!G25*1.03</f>
        <v>57803.136500000008</v>
      </c>
      <c r="H25" s="48">
        <f>'2027'!H25</f>
        <v>300</v>
      </c>
      <c r="I25" s="83">
        <f t="shared" si="2"/>
        <v>72961.336500000005</v>
      </c>
      <c r="J25" s="1"/>
    </row>
    <row r="26" spans="1:10" x14ac:dyDescent="0.35">
      <c r="A26" s="68" t="s">
        <v>19</v>
      </c>
      <c r="B26" s="42">
        <f>'2026'!B26*1.4</f>
        <v>21016.799999999999</v>
      </c>
      <c r="C26" s="21">
        <f>'2027'!C26*1.03</f>
        <v>59690.477599999998</v>
      </c>
      <c r="D26" s="21">
        <f t="shared" si="0"/>
        <v>7758.2130000000034</v>
      </c>
      <c r="E26" s="22">
        <f t="shared" si="1"/>
        <v>88465.490600000005</v>
      </c>
      <c r="F26" s="21">
        <f>'2026'!F26*1.4</f>
        <v>20734</v>
      </c>
      <c r="G26" s="21">
        <f>'2027'!G26*1.03</f>
        <v>67721.490600000005</v>
      </c>
      <c r="H26" s="48">
        <f>'2027'!H26</f>
        <v>10</v>
      </c>
      <c r="I26" s="83">
        <f t="shared" si="2"/>
        <v>88465.490600000005</v>
      </c>
      <c r="J26" s="1"/>
    </row>
    <row r="27" spans="1:10" x14ac:dyDescent="0.35">
      <c r="A27" s="68" t="s">
        <v>20</v>
      </c>
      <c r="B27" s="42">
        <f>'2026'!B27*1.4</f>
        <v>16182.599999999999</v>
      </c>
      <c r="C27" s="21">
        <f>'2027'!C27*1.03</f>
        <v>43026.921300000002</v>
      </c>
      <c r="D27" s="21">
        <f t="shared" si="0"/>
        <v>3994.5093000000052</v>
      </c>
      <c r="E27" s="22">
        <f t="shared" si="1"/>
        <v>63204.030600000006</v>
      </c>
      <c r="F27" s="21">
        <f>'2026'!F27*1.4</f>
        <v>13822.199999999999</v>
      </c>
      <c r="G27" s="21">
        <f>'2027'!G27*1.03</f>
        <v>49261.830600000008</v>
      </c>
      <c r="H27" s="48">
        <f>'2027'!H27</f>
        <v>120</v>
      </c>
      <c r="I27" s="83">
        <f t="shared" si="2"/>
        <v>63204.030600000006</v>
      </c>
      <c r="J27" s="1"/>
    </row>
    <row r="28" spans="1:10" x14ac:dyDescent="0.35">
      <c r="A28" s="68" t="s">
        <v>21</v>
      </c>
      <c r="B28" s="42">
        <f>'2026'!B28*1.4</f>
        <v>16448.599999999999</v>
      </c>
      <c r="C28" s="21">
        <f>'2027'!C28*1.03</f>
        <v>45752.373399999997</v>
      </c>
      <c r="D28" s="21">
        <f t="shared" si="0"/>
        <v>1386.7553000000044</v>
      </c>
      <c r="E28" s="22">
        <f t="shared" si="1"/>
        <v>63587.7287</v>
      </c>
      <c r="F28" s="21">
        <f>'2026'!F28*1.4</f>
        <v>12215</v>
      </c>
      <c r="G28" s="21">
        <f>'2027'!G28*1.03+500</f>
        <v>51362.7287</v>
      </c>
      <c r="H28" s="48">
        <f>'2027'!H28</f>
        <v>10</v>
      </c>
      <c r="I28" s="83">
        <f t="shared" si="2"/>
        <v>63587.7287</v>
      </c>
      <c r="J28" s="1"/>
    </row>
    <row r="29" spans="1:10" x14ac:dyDescent="0.35">
      <c r="A29" s="68" t="s">
        <v>22</v>
      </c>
      <c r="B29" s="42">
        <f>'2026'!B29*1.4</f>
        <v>18186</v>
      </c>
      <c r="C29" s="21">
        <f>'2027'!C29*1.03</f>
        <v>41498.164400000001</v>
      </c>
      <c r="D29" s="21">
        <f t="shared" si="0"/>
        <v>262.60620000000199</v>
      </c>
      <c r="E29" s="22">
        <f t="shared" si="1"/>
        <v>59946.770600000003</v>
      </c>
      <c r="F29" s="21">
        <f>'2026'!F29*1.4</f>
        <v>10000.199999999999</v>
      </c>
      <c r="G29" s="21">
        <f>'2027'!G29*1.03</f>
        <v>49836.570600000006</v>
      </c>
      <c r="H29" s="48">
        <f>'2027'!H29</f>
        <v>110</v>
      </c>
      <c r="I29" s="83">
        <f t="shared" si="2"/>
        <v>59946.770600000003</v>
      </c>
      <c r="J29" s="1"/>
    </row>
    <row r="30" spans="1:10" x14ac:dyDescent="0.35">
      <c r="A30" s="68" t="s">
        <v>23</v>
      </c>
      <c r="B30" s="42">
        <f>'2026'!B30*1.4</f>
        <v>17052</v>
      </c>
      <c r="C30" s="21">
        <f>'2027'!C30*1.03</f>
        <v>43178.630000000005</v>
      </c>
      <c r="D30" s="21">
        <f t="shared" si="0"/>
        <v>2547.789199999992</v>
      </c>
      <c r="E30" s="22">
        <f t="shared" si="1"/>
        <v>62778.419199999997</v>
      </c>
      <c r="F30" s="21">
        <f>'2026'!F30*1.4</f>
        <v>14410.199999999999</v>
      </c>
      <c r="G30" s="21">
        <f>'2027'!G30*1.03</f>
        <v>48258.2192</v>
      </c>
      <c r="H30" s="48">
        <f>'2027'!H30</f>
        <v>110</v>
      </c>
      <c r="I30" s="83">
        <f t="shared" si="2"/>
        <v>62778.419199999997</v>
      </c>
      <c r="J30" s="1"/>
    </row>
    <row r="31" spans="1:10" x14ac:dyDescent="0.35">
      <c r="A31" s="68" t="s">
        <v>24</v>
      </c>
      <c r="B31" s="42">
        <f>'2026'!B31*1.4</f>
        <v>19538.399999999998</v>
      </c>
      <c r="C31" s="21">
        <f>'2027'!C31*1.03</f>
        <v>48560.575700000001</v>
      </c>
      <c r="D31" s="21">
        <f t="shared" si="0"/>
        <v>1063.982600000003</v>
      </c>
      <c r="E31" s="22">
        <f t="shared" si="1"/>
        <v>69162.958299999998</v>
      </c>
      <c r="F31" s="21">
        <f>'2026'!F31*1.4</f>
        <v>14316.4</v>
      </c>
      <c r="G31" s="21">
        <f>'2027'!G31*1.03</f>
        <v>54622.558300000004</v>
      </c>
      <c r="H31" s="48">
        <f>'2027'!H31</f>
        <v>224</v>
      </c>
      <c r="I31" s="83">
        <f t="shared" si="2"/>
        <v>69162.958299999998</v>
      </c>
      <c r="J31" s="1"/>
    </row>
    <row r="32" spans="1:10" x14ac:dyDescent="0.35">
      <c r="A32" s="68" t="s">
        <v>25</v>
      </c>
      <c r="B32" s="42">
        <f>'2026'!B32*1.4</f>
        <v>17676.399999999998</v>
      </c>
      <c r="C32" s="21">
        <f>'2027'!C32*1.03</f>
        <v>46408.009599999998</v>
      </c>
      <c r="D32" s="21">
        <f t="shared" si="0"/>
        <v>918.63660000000527</v>
      </c>
      <c r="E32" s="22">
        <f t="shared" si="1"/>
        <v>65003.046200000004</v>
      </c>
      <c r="F32" s="21">
        <f>'2026'!F32*1.4</f>
        <v>12419.4</v>
      </c>
      <c r="G32" s="21">
        <f>'2027'!G32*1.03</f>
        <v>52533.646200000003</v>
      </c>
      <c r="H32" s="48">
        <f>'2027'!H32</f>
        <v>50</v>
      </c>
      <c r="I32" s="83">
        <f t="shared" si="2"/>
        <v>65003.046200000004</v>
      </c>
      <c r="J32" s="1"/>
    </row>
    <row r="33" spans="1:10" x14ac:dyDescent="0.35">
      <c r="A33" s="68" t="s">
        <v>26</v>
      </c>
      <c r="B33" s="42">
        <f>'2026'!B33*1.4</f>
        <v>13756.4</v>
      </c>
      <c r="C33" s="21">
        <f>'2027'!C33*1.03</f>
        <v>41126.849400000006</v>
      </c>
      <c r="D33" s="21">
        <f t="shared" si="0"/>
        <v>4336.3308999999936</v>
      </c>
      <c r="E33" s="22">
        <f t="shared" si="1"/>
        <v>59219.580300000001</v>
      </c>
      <c r="F33" s="21">
        <f>'2026'!F33*1.4</f>
        <v>13358.8</v>
      </c>
      <c r="G33" s="21">
        <f>'2027'!G33*1.03</f>
        <v>45689.780300000006</v>
      </c>
      <c r="H33" s="48">
        <f>'2027'!H33</f>
        <v>171</v>
      </c>
      <c r="I33" s="83">
        <f t="shared" si="2"/>
        <v>59219.580300000001</v>
      </c>
      <c r="J33" s="1"/>
    </row>
    <row r="34" spans="1:10" x14ac:dyDescent="0.35">
      <c r="A34" s="69" t="s">
        <v>44</v>
      </c>
      <c r="B34" s="42">
        <f>'2026'!B34*1.4</f>
        <v>11317.599999999999</v>
      </c>
      <c r="C34" s="21">
        <f>'2027'!C34*1.03</f>
        <v>12688.364000000001</v>
      </c>
      <c r="D34" s="21">
        <f t="shared" si="0"/>
        <v>2686.7308000000012</v>
      </c>
      <c r="E34" s="22">
        <f t="shared" si="1"/>
        <v>26692.694800000001</v>
      </c>
      <c r="F34" s="21">
        <f>'2026'!F34*1.4</f>
        <v>9723</v>
      </c>
      <c r="G34" s="21">
        <f>'2027'!G34*1.03</f>
        <v>16944.694800000001</v>
      </c>
      <c r="H34" s="48">
        <f>'2027'!H34</f>
        <v>25</v>
      </c>
      <c r="I34" s="83">
        <f t="shared" si="2"/>
        <v>26692.694800000001</v>
      </c>
      <c r="J34" s="1"/>
    </row>
    <row r="35" spans="1:10" x14ac:dyDescent="0.35">
      <c r="A35" s="68" t="s">
        <v>27</v>
      </c>
      <c r="B35" s="42">
        <f>'2026'!B35*1.4</f>
        <v>18650.8</v>
      </c>
      <c r="C35" s="21">
        <f>'2027'!C35*1.03</f>
        <v>46243.570099999997</v>
      </c>
      <c r="D35" s="21">
        <f t="shared" si="0"/>
        <v>85.64100000000326</v>
      </c>
      <c r="E35" s="22">
        <f t="shared" si="1"/>
        <v>64980.011100000003</v>
      </c>
      <c r="F35" s="21">
        <f>'2026'!F35*1.4</f>
        <v>11841.199999999999</v>
      </c>
      <c r="G35" s="21">
        <f>'2027'!G35*1.03</f>
        <v>53128.811100000006</v>
      </c>
      <c r="H35" s="48">
        <f>'2027'!H35</f>
        <v>10</v>
      </c>
      <c r="I35" s="83">
        <f t="shared" si="2"/>
        <v>64980.011100000003</v>
      </c>
      <c r="J35" s="1"/>
    </row>
    <row r="36" spans="1:10" ht="15" thickBot="1" x14ac:dyDescent="0.4">
      <c r="A36" s="69" t="s">
        <v>28</v>
      </c>
      <c r="B36" s="87">
        <f>'2026'!B36*1.4</f>
        <v>19135.199999999997</v>
      </c>
      <c r="C36" s="36">
        <f>'2027'!C36*1.03</f>
        <v>50472.317500000005</v>
      </c>
      <c r="D36" s="26">
        <f t="shared" si="0"/>
        <v>-64.196599999995669</v>
      </c>
      <c r="E36" s="27">
        <f t="shared" si="1"/>
        <v>69543.320900000006</v>
      </c>
      <c r="F36" s="86">
        <f>'2026'!F36*1.4</f>
        <v>11470.199999999999</v>
      </c>
      <c r="G36" s="36">
        <f>'2027'!G36*1.03</f>
        <v>57683.120900000002</v>
      </c>
      <c r="H36" s="26">
        <f>'2027'!H36</f>
        <v>390</v>
      </c>
      <c r="I36" s="84">
        <f t="shared" si="2"/>
        <v>69543.320900000006</v>
      </c>
      <c r="J36" s="1"/>
    </row>
    <row r="37" spans="1:10" ht="15" thickBot="1" x14ac:dyDescent="0.4">
      <c r="A37" s="72" t="s">
        <v>43</v>
      </c>
      <c r="B37" s="75">
        <f>'2026'!B37*1.4</f>
        <v>125368.59999999999</v>
      </c>
      <c r="C37" s="18">
        <f>'2027'!C37*1.03</f>
        <v>0</v>
      </c>
      <c r="D37" s="19">
        <f t="shared" si="0"/>
        <v>64122.234099999987</v>
      </c>
      <c r="E37" s="20">
        <f t="shared" si="1"/>
        <v>189490.83409999998</v>
      </c>
      <c r="F37" s="81">
        <f>'2026'!F37*1.4</f>
        <v>124609.79999999999</v>
      </c>
      <c r="G37" s="18">
        <f>'2027'!G37*1.03</f>
        <v>57871.034100000004</v>
      </c>
      <c r="H37" s="19">
        <f>'2027'!H37</f>
        <v>7010</v>
      </c>
      <c r="I37" s="85">
        <f t="shared" si="2"/>
        <v>189490.83409999998</v>
      </c>
      <c r="J37" s="1"/>
    </row>
    <row r="38" spans="1:10" ht="15" thickBot="1" x14ac:dyDescent="0.4">
      <c r="A38" s="72" t="s">
        <v>37</v>
      </c>
      <c r="B38" s="40">
        <v>8500</v>
      </c>
      <c r="C38" s="23">
        <v>0</v>
      </c>
      <c r="D38" s="23">
        <f t="shared" si="0"/>
        <v>21010</v>
      </c>
      <c r="E38" s="30">
        <f t="shared" si="1"/>
        <v>29510</v>
      </c>
      <c r="F38" s="23">
        <v>22000</v>
      </c>
      <c r="G38" s="23">
        <v>7000</v>
      </c>
      <c r="H38" s="23">
        <f>'2027'!H38</f>
        <v>510</v>
      </c>
      <c r="I38" s="30">
        <f t="shared" si="2"/>
        <v>29510</v>
      </c>
      <c r="J38" s="1"/>
    </row>
    <row r="39" spans="1:10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5" x14ac:dyDescent="0.35">
      <c r="A41" s="2"/>
      <c r="B41" s="2"/>
      <c r="C41" s="2"/>
      <c r="D41" s="2"/>
      <c r="E41" s="25"/>
      <c r="F41" s="2"/>
      <c r="G41" s="2"/>
      <c r="H41" s="2"/>
      <c r="I41" s="25"/>
      <c r="J41" s="2"/>
    </row>
    <row r="42" spans="1:10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2026</vt:lpstr>
      <vt:lpstr>2027</vt:lpstr>
      <vt:lpstr>2028</vt:lpstr>
      <vt:lpstr>'2026'!Oblast_tisku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Vojtíšková Lucie (ÚMČ Praha 10)</cp:lastModifiedBy>
  <cp:lastPrinted>2022-12-21T14:45:29Z</cp:lastPrinted>
  <dcterms:created xsi:type="dcterms:W3CDTF">2017-02-22T13:29:41Z</dcterms:created>
  <dcterms:modified xsi:type="dcterms:W3CDTF">2025-11-08T22:59:41Z</dcterms:modified>
</cp:coreProperties>
</file>